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01" windowWidth="9540" windowHeight="6840" activeTab="0"/>
  </bookViews>
  <sheets>
    <sheet name="PTIRR" sheetId="1" r:id="rId1"/>
  </sheets>
  <definedNames>
    <definedName name="\0">'PTIRR'!$Q$4:$Q$30</definedName>
    <definedName name="\o">'PTIRR'!$Q$4:$Q$30</definedName>
    <definedName name="_Fill" hidden="1">'PTIRR'!$B$65:$B$196</definedName>
    <definedName name="_Regression_Int" localSheetId="0" hidden="1">1</definedName>
    <definedName name="_xlnm.Print_Area" localSheetId="0">'PTIRR'!$M$65:$Q$249</definedName>
    <definedName name="Print_Area_MI" localSheetId="0">'PTIRR'!$M$65:$Q$249</definedName>
    <definedName name="_xlnm.Print_Titles" localSheetId="0">'PTIRR'!$B:$B</definedName>
    <definedName name="Print_Titles_MI" localSheetId="0">'PTIRR'!$B:$B</definedName>
    <definedName name="Q">'PTIRR'!$B$62:$AF$147</definedName>
    <definedName name="QUARTER">'PTIRR'!$B$62:$AF$147</definedName>
  </definedNames>
  <calcPr fullCalcOnLoad="1"/>
</workbook>
</file>

<file path=xl/comments1.xml><?xml version="1.0" encoding="utf-8"?>
<comments xmlns="http://schemas.openxmlformats.org/spreadsheetml/2006/main">
  <authors>
    <author>vinood kothari</author>
  </authors>
  <commentList>
    <comment ref="D15" authorId="0">
      <text>
        <r>
          <rPr>
            <b/>
            <sz val="8"/>
            <rFont val="Tahoma"/>
            <family val="0"/>
          </rPr>
          <t>vinood kothari:</t>
        </r>
        <r>
          <rPr>
            <sz val="8"/>
            <rFont val="Tahoma"/>
            <family val="0"/>
          </rPr>
          <t xml:space="preserve">
The IRR is to be fed, not the rentals. The IRR is all inclusive - including LMF, security deposit, etc.</t>
        </r>
      </text>
    </comment>
  </commentList>
</comments>
</file>

<file path=xl/sharedStrings.xml><?xml version="1.0" encoding="utf-8"?>
<sst xmlns="http://schemas.openxmlformats.org/spreadsheetml/2006/main" count="446" uniqueCount="91">
  <si>
    <t xml:space="preserve">  ‚</t>
  </si>
  <si>
    <t>__‚</t>
  </si>
  <si>
    <t>FEED THE INFORMATION HERE:</t>
  </si>
  <si>
    <t>V A L I D  F O R  M O N T H L Y  R E N T A L S  O N L Y</t>
  </si>
  <si>
    <t>"#" MEANS THE INPUT IS VARIABLE. YOU MAY CHANGE IT.</t>
  </si>
  <si>
    <t>"x" MEANS THE INPUT IS NOT VARIABLE, OR IS AN OUTUT.</t>
  </si>
  <si>
    <t xml:space="preserve">  #</t>
  </si>
  <si>
    <t>PRE-TAX IRR (HP): (See Note 1 below)</t>
  </si>
  <si>
    <t xml:space="preserve">  x</t>
  </si>
  <si>
    <t>RENTALS P.M./000 AT THE ABOVE RATE</t>
  </si>
  <si>
    <t>HP INSTALMENTS PM/000 AT ABOVE RATE</t>
  </si>
  <si>
    <t xml:space="preserve">  X</t>
  </si>
  <si>
    <t>ASSET COST / FINANCED AMOUNT</t>
  </si>
  <si>
    <t>LEASE/HP MANAGEMENT FEE</t>
  </si>
  <si>
    <t>SECURITY DEPST (refundable)(See Note 2 below)</t>
  </si>
  <si>
    <t>INTEREST ON DEPOSIT</t>
  </si>
  <si>
    <t>NO. OF COMPOUNDINGS IN A YEAR</t>
  </si>
  <si>
    <t>PAYMENTS PER YEAR PRESUMED MONTHLY</t>
  </si>
  <si>
    <t>PAYMENTS ASSUMED IN ADVANCE</t>
  </si>
  <si>
    <t>INITIALISATION OF THE LEASE ON FIRST OF THE</t>
  </si>
  <si>
    <t>TAX RATE</t>
  </si>
  <si>
    <t>GUESS RATE (CHANGE IN CASE YOU GET A WEIRD ANSWER)</t>
  </si>
  <si>
    <t xml:space="preserve">POST-TAX IRR (LEASE) </t>
  </si>
  <si>
    <t>POST-TAX IRR (HP)</t>
  </si>
  <si>
    <t>Note 1: The IRR inputted takes into account all pre-tax flows including</t>
  </si>
  <si>
    <t>LMF, residual value, security deposit, interest thereon, etc.</t>
  </si>
  <si>
    <t>Note 2: Security deposit has been presumed to be refundable. In case it</t>
  </si>
  <si>
    <t>is adjustable against the resale value, an equal amount of resale</t>
  </si>
  <si>
    <t>value may be input. In case it is adjustable against rentals, the</t>
  </si>
  <si>
    <t>same may be manually changed in the working area.</t>
  </si>
  <si>
    <t>Digits basis.</t>
  </si>
  <si>
    <t>-</t>
  </si>
  <si>
    <t>LEASE PTIRR COMPUTATION</t>
  </si>
  <si>
    <t>MONTH</t>
  </si>
  <si>
    <t>COST/RSV</t>
  </si>
  <si>
    <t>SECURITY</t>
  </si>
  <si>
    <t>RENT+</t>
  </si>
  <si>
    <t>DEPRN.</t>
  </si>
  <si>
    <t xml:space="preserve">ACCRUED </t>
  </si>
  <si>
    <t>TAXABLE</t>
  </si>
  <si>
    <t>TAX</t>
  </si>
  <si>
    <t>PRE-TAX</t>
  </si>
  <si>
    <t>PT CFLOW</t>
  </si>
  <si>
    <t>DEPOSIT</t>
  </si>
  <si>
    <t>LMF</t>
  </si>
  <si>
    <t>INTT.ON</t>
  </si>
  <si>
    <t>INCOME</t>
  </si>
  <si>
    <t>FLOW</t>
  </si>
  <si>
    <t>SEC.DEPST</t>
  </si>
  <si>
    <t>April</t>
  </si>
  <si>
    <t>June</t>
  </si>
  <si>
    <t>July</t>
  </si>
  <si>
    <t>Sept.</t>
  </si>
  <si>
    <t>Nov.</t>
  </si>
  <si>
    <t>Dec.</t>
  </si>
  <si>
    <t>March</t>
  </si>
  <si>
    <t>PRE-TAX AND POST-TAX IRR</t>
  </si>
  <si>
    <t>Verification of Pre-tax IRR</t>
  </si>
  <si>
    <t>HP PTIRR COMPUTATION</t>
  </si>
  <si>
    <t>COST</t>
  </si>
  <si>
    <t>RENT +</t>
  </si>
  <si>
    <t>INTEREST</t>
  </si>
  <si>
    <t>TOTAL RENT</t>
  </si>
  <si>
    <t>HPMF</t>
  </si>
  <si>
    <t>+HPMF</t>
  </si>
  <si>
    <t>RECVABLE</t>
  </si>
  <si>
    <t>PRIMARY LEASE PERIOD (YEARS)</t>
  </si>
  <si>
    <t>HP PERIOD (YEARS)</t>
  </si>
  <si>
    <t>INVESTMENT ALLOWANCE</t>
  </si>
  <si>
    <t>SECONDARY LEASE PERIOD (YEARS)(See Note 3 below)</t>
  </si>
  <si>
    <t>FIRST YEAR DEPRECIATION</t>
  </si>
  <si>
    <t>SUBSEQUENT YEAR DEPRECIATION</t>
  </si>
  <si>
    <t>August</t>
  </si>
  <si>
    <t>October</t>
  </si>
  <si>
    <t>January</t>
  </si>
  <si>
    <t>February</t>
  </si>
  <si>
    <t xml:space="preserve">May </t>
  </si>
  <si>
    <t>RESIDUAL VALUE (See note 4 below)</t>
  </si>
  <si>
    <t>(See note 5 below)</t>
  </si>
  <si>
    <t>INVESTMNT</t>
  </si>
  <si>
    <t>ALLOWANCE</t>
  </si>
  <si>
    <t>month</t>
  </si>
  <si>
    <t>PRE-TAX IRR (LEASE): See comment</t>
  </si>
  <si>
    <t>See comment</t>
  </si>
  <si>
    <t>Note 4: For tax purposes, the higher of the actual sale proceeds and the market value of the goods are taken as sale value. Assumption here is that the market value is the same as the residual value.</t>
  </si>
  <si>
    <t>Note 5: In case accelerated depreciation is allowable, that should be put as First year depreciation. In that case, second year rate should be put as 100%. For example, if accelerated depreciation is 80% first year and 20% next year, it  should be put as 80% and 100% - 100% for second year will mean 100% of the depreciated value.</t>
  </si>
  <si>
    <t>Note 6: HP finance charges have been spread over period on the Sum of+A47</t>
  </si>
  <si>
    <t>DISCOUNTING RATE FOR NPV</t>
  </si>
  <si>
    <t>POST-TAX NPV OF LEASE</t>
  </si>
  <si>
    <t>POST-TAX NPV OF HP</t>
  </si>
  <si>
    <t>Note 3:  Note the significance of the secondary period is to allow the market value of the goods to come close to the residual value. The secondary period is just a nominality to postpone the sale of the asset- the financial flows all take place at the end of the primary period. The security deposit is refunded and the residual value collected at the end of the primary period.  More the useful life of the asset, more the secondary period.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</si>
</sst>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numFmt numFmtId="173" formatCode="0_)"/>
  </numFmts>
  <fonts count="48">
    <font>
      <sz val="10"/>
      <name val="Courier"/>
      <family val="0"/>
    </font>
    <font>
      <b/>
      <sz val="10"/>
      <name val="Arial"/>
      <family val="0"/>
    </font>
    <font>
      <i/>
      <sz val="10"/>
      <name val="Arial"/>
      <family val="0"/>
    </font>
    <font>
      <b/>
      <i/>
      <sz val="10"/>
      <name val="Arial"/>
      <family val="0"/>
    </font>
    <font>
      <sz val="10"/>
      <name val="Arial"/>
      <family val="0"/>
    </font>
    <font>
      <sz val="10"/>
      <color indexed="12"/>
      <name val="Courier"/>
      <family val="0"/>
    </font>
    <font>
      <sz val="15"/>
      <name val="Courier"/>
      <family val="3"/>
    </font>
    <font>
      <sz val="8"/>
      <name val="Tahoma"/>
      <family val="0"/>
    </font>
    <font>
      <b/>
      <sz val="8"/>
      <name val="Tahoma"/>
      <family val="0"/>
    </font>
    <font>
      <b/>
      <sz val="15"/>
      <name val="Courier"/>
      <family val="3"/>
    </font>
    <font>
      <b/>
      <sz val="20"/>
      <name val="Courier"/>
      <family val="3"/>
    </font>
    <font>
      <b/>
      <sz val="20"/>
      <color indexed="12"/>
      <name val="Courier"/>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0"/>
      <name val="Times New Roman"/>
      <family val="0"/>
    </font>
    <font>
      <b/>
      <sz val="10"/>
      <color indexed="12"/>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172" fontId="0" fillId="0" borderId="0" xfId="0" applyAlignment="1">
      <alignment/>
    </xf>
    <xf numFmtId="172" fontId="0" fillId="0" borderId="0" xfId="0" applyAlignment="1" applyProtection="1">
      <alignment horizontal="left"/>
      <protection/>
    </xf>
    <xf numFmtId="172" fontId="0" fillId="0" borderId="0" xfId="0" applyAlignment="1" applyProtection="1">
      <alignment/>
      <protection/>
    </xf>
    <xf numFmtId="172" fontId="5" fillId="0" borderId="0" xfId="0" applyFont="1" applyAlignment="1" applyProtection="1">
      <alignment/>
      <protection locked="0"/>
    </xf>
    <xf numFmtId="173" fontId="0" fillId="0" borderId="0" xfId="0" applyNumberFormat="1" applyAlignment="1" applyProtection="1">
      <alignment/>
      <protection/>
    </xf>
    <xf numFmtId="172" fontId="5" fillId="0" borderId="0" xfId="0" applyFont="1" applyAlignment="1" applyProtection="1">
      <alignment horizontal="left"/>
      <protection locked="0"/>
    </xf>
    <xf numFmtId="10" fontId="0" fillId="0" borderId="0" xfId="0" applyNumberFormat="1" applyAlignment="1" applyProtection="1">
      <alignment/>
      <protection/>
    </xf>
    <xf numFmtId="172" fontId="0" fillId="0" borderId="0" xfId="0" applyAlignment="1" applyProtection="1">
      <alignment horizontal="fill"/>
      <protection/>
    </xf>
    <xf numFmtId="172" fontId="5" fillId="0" borderId="0" xfId="0" applyFont="1" applyAlignment="1" applyProtection="1">
      <alignment horizontal="right"/>
      <protection locked="0"/>
    </xf>
    <xf numFmtId="172" fontId="0" fillId="0" borderId="0" xfId="0" applyNumberFormat="1" applyAlignment="1" applyProtection="1">
      <alignment/>
      <protection/>
    </xf>
    <xf numFmtId="10" fontId="0" fillId="0" borderId="0" xfId="0" applyNumberFormat="1" applyAlignment="1" applyProtection="1">
      <alignment horizontal="left"/>
      <protection/>
    </xf>
    <xf numFmtId="172" fontId="0" fillId="33" borderId="0" xfId="0" applyFill="1" applyAlignment="1">
      <alignment/>
    </xf>
    <xf numFmtId="10" fontId="5" fillId="33" borderId="0" xfId="0" applyNumberFormat="1" applyFont="1" applyFill="1" applyAlignment="1" applyProtection="1">
      <alignment/>
      <protection locked="0"/>
    </xf>
    <xf numFmtId="172" fontId="0" fillId="33" borderId="0" xfId="0" applyFill="1" applyAlignment="1" applyProtection="1">
      <alignment/>
      <protection/>
    </xf>
    <xf numFmtId="172" fontId="5" fillId="33" borderId="0" xfId="0" applyFont="1" applyFill="1" applyAlignment="1" applyProtection="1">
      <alignment/>
      <protection locked="0"/>
    </xf>
    <xf numFmtId="173" fontId="0" fillId="33" borderId="0" xfId="0" applyNumberFormat="1" applyFill="1" applyAlignment="1" applyProtection="1">
      <alignment/>
      <protection/>
    </xf>
    <xf numFmtId="173" fontId="5" fillId="33" borderId="0" xfId="0" applyNumberFormat="1" applyFont="1" applyFill="1" applyAlignment="1" applyProtection="1">
      <alignment/>
      <protection locked="0"/>
    </xf>
    <xf numFmtId="10" fontId="6" fillId="34" borderId="0" xfId="0" applyNumberFormat="1" applyFont="1" applyFill="1" applyBorder="1" applyAlignment="1" applyProtection="1">
      <alignment/>
      <protection/>
    </xf>
    <xf numFmtId="172" fontId="9" fillId="0" borderId="0" xfId="0" applyFont="1" applyAlignment="1">
      <alignment/>
    </xf>
    <xf numFmtId="172" fontId="9" fillId="0" borderId="0" xfId="0" applyFont="1" applyAlignment="1" applyProtection="1">
      <alignment horizontal="fill"/>
      <protection/>
    </xf>
    <xf numFmtId="172" fontId="9" fillId="0" borderId="0" xfId="0" applyFont="1" applyAlignment="1" applyProtection="1">
      <alignment horizontal="left"/>
      <protection/>
    </xf>
    <xf numFmtId="173" fontId="9" fillId="0" borderId="0" xfId="0" applyNumberFormat="1" applyFont="1" applyAlignment="1" applyProtection="1">
      <alignment/>
      <protection/>
    </xf>
    <xf numFmtId="172" fontId="9" fillId="0" borderId="0" xfId="0" applyFont="1" applyAlignment="1" applyProtection="1">
      <alignment/>
      <protection/>
    </xf>
    <xf numFmtId="172" fontId="9" fillId="0" borderId="0" xfId="0" applyFont="1" applyAlignment="1" applyProtection="1" quotePrefix="1">
      <alignment/>
      <protection/>
    </xf>
    <xf numFmtId="172" fontId="9" fillId="0" borderId="0" xfId="0" applyNumberFormat="1" applyFont="1" applyAlignment="1" applyProtection="1">
      <alignment/>
      <protection/>
    </xf>
    <xf numFmtId="172" fontId="10" fillId="33" borderId="0" xfId="0" applyFont="1" applyFill="1" applyAlignment="1" applyProtection="1">
      <alignment horizontal="left"/>
      <protection/>
    </xf>
    <xf numFmtId="172" fontId="10" fillId="33" borderId="0" xfId="0" applyFont="1" applyFill="1" applyAlignment="1">
      <alignment/>
    </xf>
    <xf numFmtId="10" fontId="11" fillId="33" borderId="0" xfId="0" applyNumberFormat="1" applyFont="1" applyFill="1" applyAlignment="1" applyProtection="1">
      <alignment/>
      <protection locked="0"/>
    </xf>
    <xf numFmtId="172" fontId="10" fillId="33" borderId="0" xfId="0" applyFont="1" applyFill="1" applyAlignment="1" applyProtection="1">
      <alignment/>
      <protection/>
    </xf>
    <xf numFmtId="172" fontId="11" fillId="33" borderId="0" xfId="0" applyFont="1" applyFill="1" applyAlignment="1" applyProtection="1">
      <alignment/>
      <protection locked="0"/>
    </xf>
    <xf numFmtId="173" fontId="10" fillId="33" borderId="0" xfId="0" applyNumberFormat="1" applyFont="1" applyFill="1" applyAlignment="1" applyProtection="1">
      <alignment/>
      <protection/>
    </xf>
    <xf numFmtId="173" fontId="11" fillId="33" borderId="0" xfId="0" applyNumberFormat="1" applyFont="1" applyFill="1" applyAlignment="1" applyProtection="1">
      <alignment/>
      <protection locked="0"/>
    </xf>
    <xf numFmtId="172" fontId="10" fillId="33" borderId="0" xfId="0" applyFont="1" applyFill="1" applyAlignment="1" quotePrefix="1">
      <alignment/>
    </xf>
    <xf numFmtId="172" fontId="10" fillId="34" borderId="10" xfId="0" applyFont="1" applyFill="1" applyBorder="1" applyAlignment="1">
      <alignment/>
    </xf>
    <xf numFmtId="172" fontId="10" fillId="34" borderId="11" xfId="0" applyFont="1" applyFill="1" applyBorder="1" applyAlignment="1" applyProtection="1">
      <alignment horizontal="left"/>
      <protection/>
    </xf>
    <xf numFmtId="10" fontId="10" fillId="34" borderId="12" xfId="0" applyNumberFormat="1" applyFont="1" applyFill="1" applyBorder="1" applyAlignment="1" applyProtection="1">
      <alignment/>
      <protection/>
    </xf>
    <xf numFmtId="172" fontId="10" fillId="34" borderId="13" xfId="0" applyFont="1" applyFill="1" applyBorder="1" applyAlignment="1" applyProtection="1">
      <alignment horizontal="left"/>
      <protection/>
    </xf>
    <xf numFmtId="172" fontId="10" fillId="34" borderId="14" xfId="0" applyFont="1" applyFill="1" applyBorder="1" applyAlignment="1">
      <alignment/>
    </xf>
    <xf numFmtId="10" fontId="10" fillId="34" borderId="15"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142875</xdr:rowOff>
    </xdr:from>
    <xdr:to>
      <xdr:col>5</xdr:col>
      <xdr:colOff>285750</xdr:colOff>
      <xdr:row>6</xdr:row>
      <xdr:rowOff>66675</xdr:rowOff>
    </xdr:to>
    <xdr:sp>
      <xdr:nvSpPr>
        <xdr:cNvPr id="1" name="Text Box 3"/>
        <xdr:cNvSpPr txBox="1">
          <a:spLocks noChangeArrowheads="1"/>
        </xdr:cNvSpPr>
      </xdr:nvSpPr>
      <xdr:spPr>
        <a:xfrm>
          <a:off x="809625" y="142875"/>
          <a:ext cx="4857750" cy="1409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Prepared and copyrighted by Vinod Kothari.
</a:t>
          </a:r>
          <a:r>
            <a:rPr lang="en-US" cap="none" sz="1000" b="1" i="0" u="none" baseline="0">
              <a:solidFill>
                <a:srgbClr val="FF0000"/>
              </a:solidFill>
              <a:latin typeface="Times New Roman"/>
              <a:ea typeface="Times New Roman"/>
              <a:cs typeface="Times New Roman"/>
            </a:rPr>
            <a:t>This worksheet has been tailored for </a:t>
          </a:r>
          <a:r>
            <a:rPr lang="en-US" cap="none" sz="1000" b="1" i="0" u="none" baseline="0">
              <a:solidFill>
                <a:srgbClr val="0000FF"/>
              </a:solidFill>
              <a:latin typeface="Times New Roman"/>
              <a:ea typeface="Times New Roman"/>
              <a:cs typeface="Times New Roman"/>
            </a:rPr>
            <a:t>Bangladesh </a:t>
          </a:r>
          <a:r>
            <a:rPr lang="en-US" cap="none" sz="1000" b="1" i="0" u="none" baseline="0">
              <a:solidFill>
                <a:srgbClr val="FF0000"/>
              </a:solidFill>
              <a:latin typeface="Times New Roman"/>
              <a:ea typeface="Times New Roman"/>
              <a:cs typeface="Times New Roman"/>
            </a:rPr>
            <a:t>laws and lease practices.
</a:t>
          </a:r>
          <a:r>
            <a:rPr lang="en-US" cap="none" sz="1000" b="1" i="0" u="none" baseline="0">
              <a:solidFill>
                <a:srgbClr val="FF0000"/>
              </a:solidFill>
              <a:latin typeface="Times New Roman"/>
              <a:ea typeface="Times New Roman"/>
              <a:cs typeface="Times New Roman"/>
            </a:rPr>
            <a:t>Copyright protected - any unauthorised copy will lead to prosecution.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M438"/>
  <sheetViews>
    <sheetView showGridLines="0" tabSelected="1" zoomScale="120" zoomScaleNormal="120" zoomScalePageLayoutView="0" workbookViewId="0" topLeftCell="B23">
      <pane ySplit="6975" topLeftCell="A39" activePane="topLeft" state="split"/>
      <selection pane="topLeft" activeCell="G32" sqref="G32"/>
      <selection pane="bottomLeft" activeCell="B39" sqref="B39"/>
    </sheetView>
  </sheetViews>
  <sheetFormatPr defaultColWidth="9.625" defaultRowHeight="12.75"/>
  <cols>
    <col min="1" max="1" width="9.625" style="0" customWidth="1"/>
    <col min="2" max="6" width="15.25390625" style="18" customWidth="1"/>
    <col min="7" max="7" width="17.375" style="18" customWidth="1"/>
  </cols>
  <sheetData>
    <row r="1" ht="19.5">
      <c r="A1" s="1"/>
    </row>
    <row r="2" spans="1:9" ht="19.5">
      <c r="A2" s="1"/>
      <c r="I2" s="1" t="s">
        <v>0</v>
      </c>
    </row>
    <row r="3" spans="1:9" ht="19.5">
      <c r="A3" s="1"/>
      <c r="I3" s="1" t="s">
        <v>0</v>
      </c>
    </row>
    <row r="4" spans="1:9" ht="19.5">
      <c r="A4" s="1"/>
      <c r="I4" s="1" t="s">
        <v>0</v>
      </c>
    </row>
    <row r="5" spans="1:9" ht="19.5">
      <c r="A5" s="1"/>
      <c r="I5" s="1" t="s">
        <v>1</v>
      </c>
    </row>
    <row r="6" ht="19.5"/>
    <row r="7" ht="19.5"/>
    <row r="8" ht="19.5">
      <c r="A8" s="1" t="s">
        <v>2</v>
      </c>
    </row>
    <row r="9" ht="19.5">
      <c r="A9" s="2" t="str">
        <f>REPT("-",LEN(A8))</f>
        <v>--------------------------</v>
      </c>
    </row>
    <row r="10" spans="1:9" ht="19.5">
      <c r="A10" s="1" t="s">
        <v>3</v>
      </c>
      <c r="I10" s="3"/>
    </row>
    <row r="11" ht="19.5">
      <c r="A11" s="2" t="str">
        <f>REPT("-",LEN(A10))</f>
        <v>-------------------------------------------------------</v>
      </c>
    </row>
    <row r="12" ht="19.5">
      <c r="A12" s="1" t="s">
        <v>4</v>
      </c>
    </row>
    <row r="13" ht="18.75">
      <c r="A13" s="1" t="s">
        <v>5</v>
      </c>
    </row>
    <row r="15" spans="1:8" ht="23.25">
      <c r="A15" s="1" t="s">
        <v>6</v>
      </c>
      <c r="B15" s="25" t="s">
        <v>82</v>
      </c>
      <c r="C15" s="26"/>
      <c r="D15" s="26" t="s">
        <v>83</v>
      </c>
      <c r="E15" s="26"/>
      <c r="F15" s="26"/>
      <c r="G15" s="27">
        <v>0.15</v>
      </c>
      <c r="H15" s="12"/>
    </row>
    <row r="16" spans="1:8" ht="23.25">
      <c r="A16" s="1" t="s">
        <v>6</v>
      </c>
      <c r="B16" s="25" t="s">
        <v>7</v>
      </c>
      <c r="C16" s="26"/>
      <c r="D16" s="26"/>
      <c r="E16" s="26"/>
      <c r="F16" s="26"/>
      <c r="G16" s="27">
        <v>0.15</v>
      </c>
      <c r="H16" s="12"/>
    </row>
    <row r="17" spans="1:8" ht="23.25">
      <c r="A17" s="1" t="s">
        <v>8</v>
      </c>
      <c r="B17" s="25" t="s">
        <v>9</v>
      </c>
      <c r="C17" s="26"/>
      <c r="D17" s="26"/>
      <c r="E17" s="26"/>
      <c r="F17" s="26"/>
      <c r="G17" s="28">
        <f>((G19*(1-G21)-(G19*G$20)-G19*G29/((1+G15/G27)^(G24*G27))+((G21*G19*(1+G22/G23)^(G24*G23)))/((1+G15/G27)^(G24*G27))))/(1+PV(G15/G27,G24*G27-1,-1))</f>
        <v>29.85902499096822</v>
      </c>
      <c r="H17" s="13"/>
    </row>
    <row r="18" spans="1:8" ht="23.25">
      <c r="A18" s="1" t="s">
        <v>8</v>
      </c>
      <c r="B18" s="25" t="s">
        <v>10</v>
      </c>
      <c r="C18" s="26"/>
      <c r="D18" s="26"/>
      <c r="E18" s="26"/>
      <c r="F18" s="26"/>
      <c r="G18" s="28">
        <f>((G19*(1-G21)-(G19*G$20)+((G21*G19*(1+G22/G23)^(G26*G23)))/((1+G16/G27)^(G26*G27))))/(1+PV(G16/G27,G26*G27-1,-1))</f>
        <v>34.23736148562386</v>
      </c>
      <c r="H18" s="13"/>
    </row>
    <row r="19" spans="1:8" ht="23.25">
      <c r="A19" s="1" t="s">
        <v>11</v>
      </c>
      <c r="B19" s="25" t="s">
        <v>12</v>
      </c>
      <c r="C19" s="26"/>
      <c r="D19" s="26"/>
      <c r="E19" s="26"/>
      <c r="F19" s="26"/>
      <c r="G19" s="29">
        <v>1000</v>
      </c>
      <c r="H19" s="14"/>
    </row>
    <row r="20" spans="1:8" ht="23.25">
      <c r="A20" s="1" t="s">
        <v>6</v>
      </c>
      <c r="B20" s="25" t="s">
        <v>13</v>
      </c>
      <c r="C20" s="26"/>
      <c r="D20" s="26"/>
      <c r="E20" s="26"/>
      <c r="F20" s="26"/>
      <c r="G20" s="27">
        <v>0</v>
      </c>
      <c r="H20" s="12"/>
    </row>
    <row r="21" spans="1:8" ht="23.25">
      <c r="A21" s="1" t="s">
        <v>6</v>
      </c>
      <c r="B21" s="25" t="s">
        <v>14</v>
      </c>
      <c r="C21" s="26"/>
      <c r="D21" s="26"/>
      <c r="E21" s="26"/>
      <c r="F21" s="26"/>
      <c r="G21" s="27">
        <v>0</v>
      </c>
      <c r="H21" s="12"/>
    </row>
    <row r="22" spans="1:8" ht="23.25">
      <c r="A22" s="1" t="s">
        <v>6</v>
      </c>
      <c r="B22" s="25" t="s">
        <v>15</v>
      </c>
      <c r="C22" s="26"/>
      <c r="D22" s="26"/>
      <c r="E22" s="26"/>
      <c r="F22" s="26"/>
      <c r="G22" s="27">
        <v>0</v>
      </c>
      <c r="H22" s="12"/>
    </row>
    <row r="23" spans="1:8" ht="23.25">
      <c r="A23" s="1" t="s">
        <v>6</v>
      </c>
      <c r="B23" s="25" t="s">
        <v>16</v>
      </c>
      <c r="C23" s="26"/>
      <c r="D23" s="26"/>
      <c r="E23" s="26"/>
      <c r="F23" s="26"/>
      <c r="G23" s="30">
        <v>12</v>
      </c>
      <c r="H23" s="15"/>
    </row>
    <row r="24" spans="1:8" ht="23.25">
      <c r="A24" s="1" t="s">
        <v>6</v>
      </c>
      <c r="B24" s="25" t="s">
        <v>66</v>
      </c>
      <c r="C24" s="26"/>
      <c r="D24" s="26"/>
      <c r="E24" s="26"/>
      <c r="F24" s="26"/>
      <c r="G24" s="31">
        <v>3</v>
      </c>
      <c r="H24" s="16"/>
    </row>
    <row r="25" spans="1:8" ht="23.25">
      <c r="A25" s="1"/>
      <c r="B25" s="25" t="s">
        <v>69</v>
      </c>
      <c r="C25" s="26"/>
      <c r="D25" s="26"/>
      <c r="E25" s="26"/>
      <c r="F25" s="26"/>
      <c r="G25" s="31">
        <v>0</v>
      </c>
      <c r="H25" s="16"/>
    </row>
    <row r="26" spans="1:8" ht="23.25">
      <c r="A26" s="1" t="s">
        <v>6</v>
      </c>
      <c r="B26" s="25" t="s">
        <v>67</v>
      </c>
      <c r="C26" s="26"/>
      <c r="D26" s="26"/>
      <c r="E26" s="26"/>
      <c r="F26" s="26"/>
      <c r="G26" s="31">
        <v>3</v>
      </c>
      <c r="H26" s="16"/>
    </row>
    <row r="27" spans="1:8" ht="23.25">
      <c r="A27" s="1" t="s">
        <v>8</v>
      </c>
      <c r="B27" s="25" t="s">
        <v>17</v>
      </c>
      <c r="C27" s="26"/>
      <c r="D27" s="26"/>
      <c r="E27" s="26"/>
      <c r="F27" s="26"/>
      <c r="G27" s="30">
        <v>12</v>
      </c>
      <c r="H27" s="15"/>
    </row>
    <row r="28" spans="1:8" ht="23.25">
      <c r="A28" s="1" t="s">
        <v>8</v>
      </c>
      <c r="B28" s="25" t="s">
        <v>18</v>
      </c>
      <c r="C28" s="26"/>
      <c r="D28" s="26"/>
      <c r="E28" s="26"/>
      <c r="F28" s="26"/>
      <c r="G28" s="26"/>
      <c r="H28" s="11"/>
    </row>
    <row r="29" spans="1:8" ht="23.25">
      <c r="A29" s="1" t="s">
        <v>6</v>
      </c>
      <c r="B29" s="25" t="s">
        <v>77</v>
      </c>
      <c r="C29" s="26"/>
      <c r="D29" s="26"/>
      <c r="E29" s="26"/>
      <c r="F29" s="26"/>
      <c r="G29" s="27">
        <v>0.2</v>
      </c>
      <c r="H29" s="12"/>
    </row>
    <row r="30" spans="1:8" ht="23.25">
      <c r="A30" s="1" t="s">
        <v>6</v>
      </c>
      <c r="B30" s="25" t="s">
        <v>70</v>
      </c>
      <c r="C30" s="26"/>
      <c r="D30" s="26"/>
      <c r="E30" s="26"/>
      <c r="F30" s="26"/>
      <c r="G30" s="27">
        <v>0.45</v>
      </c>
      <c r="H30" s="12"/>
    </row>
    <row r="31" spans="1:8" ht="23.25">
      <c r="A31" s="1"/>
      <c r="B31" s="25" t="s">
        <v>71</v>
      </c>
      <c r="C31" s="26"/>
      <c r="D31" s="26"/>
      <c r="E31" s="32" t="s">
        <v>78</v>
      </c>
      <c r="F31" s="26"/>
      <c r="G31" s="27">
        <v>0.2</v>
      </c>
      <c r="H31" s="12"/>
    </row>
    <row r="32" spans="1:8" ht="23.25">
      <c r="A32" s="1"/>
      <c r="B32" s="25" t="s">
        <v>68</v>
      </c>
      <c r="C32" s="26"/>
      <c r="D32" s="26"/>
      <c r="E32" s="26"/>
      <c r="F32" s="26"/>
      <c r="G32" s="27">
        <v>0</v>
      </c>
      <c r="H32" s="12"/>
    </row>
    <row r="33" spans="1:10" ht="23.25">
      <c r="A33" s="1" t="s">
        <v>6</v>
      </c>
      <c r="B33" s="25" t="s">
        <v>19</v>
      </c>
      <c r="C33" s="26"/>
      <c r="D33" s="26"/>
      <c r="E33" s="26"/>
      <c r="F33" s="26"/>
      <c r="G33" s="31">
        <v>1</v>
      </c>
      <c r="H33" s="2" t="s">
        <v>81</v>
      </c>
      <c r="J33" s="2"/>
    </row>
    <row r="34" spans="1:8" ht="23.25">
      <c r="A34" s="5" t="s">
        <v>6</v>
      </c>
      <c r="B34" s="25" t="s">
        <v>20</v>
      </c>
      <c r="C34" s="26"/>
      <c r="D34" s="26"/>
      <c r="E34" s="26"/>
      <c r="F34" s="26"/>
      <c r="G34" s="27">
        <v>0.45</v>
      </c>
      <c r="H34" s="12"/>
    </row>
    <row r="35" spans="1:8" ht="23.25">
      <c r="A35" s="1" t="s">
        <v>6</v>
      </c>
      <c r="B35" s="25" t="s">
        <v>21</v>
      </c>
      <c r="C35" s="26"/>
      <c r="D35" s="26"/>
      <c r="E35" s="26"/>
      <c r="F35" s="26"/>
      <c r="G35" s="27">
        <v>0.1</v>
      </c>
      <c r="H35" s="12"/>
    </row>
    <row r="36" spans="1:8" ht="24" thickBot="1">
      <c r="A36" s="1"/>
      <c r="B36" s="25" t="s">
        <v>87</v>
      </c>
      <c r="C36" s="26"/>
      <c r="D36" s="26"/>
      <c r="E36" s="26"/>
      <c r="F36" s="26"/>
      <c r="G36" s="27">
        <v>0.09</v>
      </c>
      <c r="H36" s="12"/>
    </row>
    <row r="37" spans="1:8" ht="24" thickBot="1">
      <c r="A37" s="1"/>
      <c r="B37" s="33" t="s">
        <v>88</v>
      </c>
      <c r="C37" s="33"/>
      <c r="D37" s="33"/>
      <c r="E37" s="33"/>
      <c r="F37" s="33"/>
      <c r="G37" s="33">
        <f>NPV(G36/12,L66:L244)+L65</f>
        <v>-5.8987186675879</v>
      </c>
      <c r="H37" s="12"/>
    </row>
    <row r="38" spans="1:8" ht="24" thickBot="1">
      <c r="A38" s="1"/>
      <c r="B38" s="33" t="s">
        <v>89</v>
      </c>
      <c r="C38" s="33"/>
      <c r="D38" s="33"/>
      <c r="E38" s="33"/>
      <c r="F38" s="33"/>
      <c r="G38" s="33">
        <f>NPV(G36/12,L260:L390)+L259</f>
        <v>-10.094794343187004</v>
      </c>
      <c r="H38" s="12"/>
    </row>
    <row r="39" spans="1:8" ht="23.25">
      <c r="A39" s="5" t="s">
        <v>8</v>
      </c>
      <c r="B39" s="34" t="s">
        <v>22</v>
      </c>
      <c r="C39" s="33"/>
      <c r="D39" s="33"/>
      <c r="E39" s="33"/>
      <c r="F39" s="33"/>
      <c r="G39" s="35">
        <f>L249*G27</f>
        <v>0.08623973400187307</v>
      </c>
      <c r="H39" s="17"/>
    </row>
    <row r="40" spans="1:8" ht="24" thickBot="1">
      <c r="A40" s="1" t="s">
        <v>8</v>
      </c>
      <c r="B40" s="36" t="s">
        <v>23</v>
      </c>
      <c r="C40" s="37"/>
      <c r="D40" s="37"/>
      <c r="E40" s="37"/>
      <c r="F40" s="37"/>
      <c r="G40" s="38">
        <f>L391</f>
        <v>0.0828240957275807</v>
      </c>
      <c r="H40" s="17"/>
    </row>
    <row r="42" ht="18.75">
      <c r="A42" s="1" t="s">
        <v>24</v>
      </c>
    </row>
    <row r="43" ht="18.75">
      <c r="A43" s="1" t="s">
        <v>25</v>
      </c>
    </row>
    <row r="45" ht="18.75">
      <c r="A45" s="1" t="s">
        <v>26</v>
      </c>
    </row>
    <row r="46" ht="18.75">
      <c r="A46" s="1" t="s">
        <v>27</v>
      </c>
    </row>
    <row r="47" ht="18.75">
      <c r="A47" s="1" t="s">
        <v>28</v>
      </c>
    </row>
    <row r="48" ht="18.75">
      <c r="A48" s="1" t="s">
        <v>29</v>
      </c>
    </row>
    <row r="50" ht="18.75">
      <c r="A50" t="s">
        <v>90</v>
      </c>
    </row>
    <row r="52" ht="18.75">
      <c r="A52" t="s">
        <v>84</v>
      </c>
    </row>
    <row r="54" ht="18.75">
      <c r="A54" t="s">
        <v>85</v>
      </c>
    </row>
    <row r="56" ht="18.75">
      <c r="A56" s="1" t="s">
        <v>86</v>
      </c>
    </row>
    <row r="57" ht="18.75">
      <c r="A57" s="1" t="s">
        <v>30</v>
      </c>
    </row>
    <row r="58" spans="1:12" ht="18.75">
      <c r="A58" s="7" t="s">
        <v>31</v>
      </c>
      <c r="B58" s="19" t="s">
        <v>31</v>
      </c>
      <c r="C58" s="19" t="s">
        <v>31</v>
      </c>
      <c r="D58" s="19" t="s">
        <v>31</v>
      </c>
      <c r="E58" s="19" t="s">
        <v>31</v>
      </c>
      <c r="F58" s="19" t="s">
        <v>31</v>
      </c>
      <c r="G58" s="19" t="s">
        <v>31</v>
      </c>
      <c r="H58" s="7"/>
      <c r="I58" s="7" t="s">
        <v>31</v>
      </c>
      <c r="J58" s="7" t="s">
        <v>31</v>
      </c>
      <c r="K58" s="7" t="s">
        <v>31</v>
      </c>
      <c r="L58" s="7" t="s">
        <v>31</v>
      </c>
    </row>
    <row r="60" spans="1:4" ht="18.75">
      <c r="A60" s="3"/>
      <c r="D60" s="20" t="s">
        <v>32</v>
      </c>
    </row>
    <row r="62" spans="1:13" ht="18.75">
      <c r="A62" s="3"/>
      <c r="B62" s="20" t="s">
        <v>33</v>
      </c>
      <c r="C62" s="20" t="s">
        <v>34</v>
      </c>
      <c r="D62" s="20" t="s">
        <v>35</v>
      </c>
      <c r="E62" s="20" t="s">
        <v>36</v>
      </c>
      <c r="F62" s="20" t="s">
        <v>37</v>
      </c>
      <c r="G62" s="20" t="s">
        <v>38</v>
      </c>
      <c r="H62" s="1" t="s">
        <v>79</v>
      </c>
      <c r="I62" s="1" t="s">
        <v>39</v>
      </c>
      <c r="J62" s="1" t="s">
        <v>40</v>
      </c>
      <c r="K62" s="1" t="s">
        <v>41</v>
      </c>
      <c r="L62" s="1" t="s">
        <v>42</v>
      </c>
      <c r="M62" s="6"/>
    </row>
    <row r="63" spans="4:11" ht="18.75">
      <c r="D63" s="20" t="s">
        <v>43</v>
      </c>
      <c r="E63" s="20" t="s">
        <v>44</v>
      </c>
      <c r="G63" s="20" t="s">
        <v>45</v>
      </c>
      <c r="H63" s="1" t="s">
        <v>80</v>
      </c>
      <c r="I63" s="1" t="s">
        <v>46</v>
      </c>
      <c r="K63" s="1" t="s">
        <v>47</v>
      </c>
    </row>
    <row r="64" spans="1:8" ht="18.75">
      <c r="A64" s="3"/>
      <c r="B64" s="21"/>
      <c r="G64" s="20" t="s">
        <v>48</v>
      </c>
      <c r="H64" s="1"/>
    </row>
    <row r="65" spans="1:12" ht="18.75">
      <c r="A65" s="8" t="s">
        <v>51</v>
      </c>
      <c r="B65" s="21">
        <v>1</v>
      </c>
      <c r="C65" s="22">
        <f aca="true" t="shared" si="0" ref="C65:C76">IF(B65=$G$33,-G$19,0)</f>
        <v>-1000</v>
      </c>
      <c r="D65" s="22">
        <f aca="true" t="shared" si="1" ref="D65:D76">IF(B65=$G$33,G$19*G$21,0)</f>
        <v>0</v>
      </c>
      <c r="E65" s="22">
        <f aca="true" t="shared" si="2" ref="E65:E76">IF(B65&lt;$G$33,0,IF(B65&lt;=G$24*G$27+$G$33-1,+(G$17*12/G$27),0))+IF(B65=$G$33,G$20*G$19,0)</f>
        <v>29.85902499096822</v>
      </c>
      <c r="F65" s="22">
        <v>0</v>
      </c>
      <c r="G65" s="22">
        <f>IF(B65&gt;G$24*G$27+G$33,0,(SUM(D64:D$65)*((1+G$22/G$23)^((B65-G$33)/(12/G$23))-1))-SUM(G64))</f>
        <v>0</v>
      </c>
      <c r="H65" s="2"/>
      <c r="K65" s="2">
        <f aca="true" t="shared" si="3" ref="K65:K96">C65+D65+E65</f>
        <v>-970.1409750090318</v>
      </c>
      <c r="L65" s="2">
        <f aca="true" t="shared" si="4" ref="L65:L72">C65+E65-J65+D65</f>
        <v>-970.1409750090318</v>
      </c>
    </row>
    <row r="66" spans="1:12" ht="18.75">
      <c r="A66" s="8" t="s">
        <v>72</v>
      </c>
      <c r="B66" s="21">
        <v>2</v>
      </c>
      <c r="C66" s="22">
        <f t="shared" si="0"/>
        <v>0</v>
      </c>
      <c r="D66" s="22">
        <f t="shared" si="1"/>
        <v>0</v>
      </c>
      <c r="E66" s="22">
        <f t="shared" si="2"/>
        <v>29.85902499096822</v>
      </c>
      <c r="F66" s="22">
        <v>0</v>
      </c>
      <c r="G66" s="22">
        <f>IF(B66&gt;G$24*G$27+G$33,0,(SUM(D$65)*((1+G$22/G$23)^((B66-G$33)/(12/G$23))-1))-SUM(G$64:G65))</f>
        <v>0</v>
      </c>
      <c r="H66" s="2"/>
      <c r="K66" s="2">
        <f t="shared" si="3"/>
        <v>29.85902499096822</v>
      </c>
      <c r="L66" s="2">
        <f t="shared" si="4"/>
        <v>29.85902499096822</v>
      </c>
    </row>
    <row r="67" spans="1:12" ht="18.75">
      <c r="A67" s="8" t="s">
        <v>52</v>
      </c>
      <c r="B67" s="21">
        <v>3</v>
      </c>
      <c r="C67" s="22">
        <f t="shared" si="0"/>
        <v>0</v>
      </c>
      <c r="D67" s="22">
        <f t="shared" si="1"/>
        <v>0</v>
      </c>
      <c r="E67" s="22">
        <f t="shared" si="2"/>
        <v>29.85902499096822</v>
      </c>
      <c r="F67" s="22">
        <v>0</v>
      </c>
      <c r="G67" s="22">
        <f>IF(B67&gt;G$24*G$27+G$33,0,(SUM(D$65:D66)*((1+G$22/G$23)^((B67-G$33)/(12/G$23))-1))-SUM(G$64:G66))</f>
        <v>0</v>
      </c>
      <c r="H67" s="2"/>
      <c r="J67" s="2">
        <f>I76*G$34*0.15</f>
        <v>-6.18918975731574</v>
      </c>
      <c r="K67" s="2">
        <f t="shared" si="3"/>
        <v>29.85902499096822</v>
      </c>
      <c r="L67" s="2">
        <f t="shared" si="4"/>
        <v>36.04821474828396</v>
      </c>
    </row>
    <row r="68" spans="1:12" ht="18.75">
      <c r="A68" s="8" t="s">
        <v>73</v>
      </c>
      <c r="B68" s="21">
        <v>4</v>
      </c>
      <c r="C68" s="22">
        <f t="shared" si="0"/>
        <v>0</v>
      </c>
      <c r="D68" s="22">
        <f t="shared" si="1"/>
        <v>0</v>
      </c>
      <c r="E68" s="22">
        <f t="shared" si="2"/>
        <v>29.85902499096822</v>
      </c>
      <c r="F68" s="22">
        <v>0</v>
      </c>
      <c r="G68" s="22">
        <f>IF(B68&gt;G$24*G$27+G$33,0,(SUM(D$65:D67)*((1+G$22/G$23)^((B68-G$33)/(12/G$23))-1))-SUM(G$64:G67))</f>
        <v>0</v>
      </c>
      <c r="H68" s="2"/>
      <c r="K68" s="2">
        <f t="shared" si="3"/>
        <v>29.85902499096822</v>
      </c>
      <c r="L68" s="2">
        <f t="shared" si="4"/>
        <v>29.85902499096822</v>
      </c>
    </row>
    <row r="69" spans="1:12" ht="18.75">
      <c r="A69" s="8" t="s">
        <v>53</v>
      </c>
      <c r="B69" s="21">
        <v>5</v>
      </c>
      <c r="C69" s="22">
        <f t="shared" si="0"/>
        <v>0</v>
      </c>
      <c r="D69" s="22">
        <f t="shared" si="1"/>
        <v>0</v>
      </c>
      <c r="E69" s="22">
        <f t="shared" si="2"/>
        <v>29.85902499096822</v>
      </c>
      <c r="F69" s="22">
        <v>0</v>
      </c>
      <c r="G69" s="22">
        <f>IF(B69&gt;G$24*G$27+G$33,0,(SUM(D$65:D68)*((1+G$22/G$23)^((B69-G$33)/(12/G$23))-1))-SUM(G$64:G68))</f>
        <v>0</v>
      </c>
      <c r="H69" s="2"/>
      <c r="K69" s="2">
        <f t="shared" si="3"/>
        <v>29.85902499096822</v>
      </c>
      <c r="L69" s="2">
        <f t="shared" si="4"/>
        <v>29.85902499096822</v>
      </c>
    </row>
    <row r="70" spans="1:12" ht="18.75">
      <c r="A70" s="8" t="s">
        <v>54</v>
      </c>
      <c r="B70" s="21">
        <v>6</v>
      </c>
      <c r="C70" s="22">
        <f t="shared" si="0"/>
        <v>0</v>
      </c>
      <c r="D70" s="22">
        <f t="shared" si="1"/>
        <v>0</v>
      </c>
      <c r="E70" s="22">
        <f t="shared" si="2"/>
        <v>29.85902499096822</v>
      </c>
      <c r="F70" s="22">
        <v>0</v>
      </c>
      <c r="G70" s="22">
        <f>IF(B70&gt;G$24*G$27+G$33,0,(SUM(D$65:D69)*((1+G$22/G$23)^((B70-G$33)/(12/G$23))-1))-SUM(G$64:G69))</f>
        <v>0</v>
      </c>
      <c r="H70" s="2"/>
      <c r="J70" s="2">
        <f>I76*$G$34*0.3</f>
        <v>-12.37837951463148</v>
      </c>
      <c r="K70" s="2">
        <f t="shared" si="3"/>
        <v>29.85902499096822</v>
      </c>
      <c r="L70" s="2">
        <f t="shared" si="4"/>
        <v>42.2374045055997</v>
      </c>
    </row>
    <row r="71" spans="1:12" ht="18.75">
      <c r="A71" s="8" t="s">
        <v>74</v>
      </c>
      <c r="B71" s="21">
        <v>7</v>
      </c>
      <c r="C71" s="22">
        <f t="shared" si="0"/>
        <v>0</v>
      </c>
      <c r="D71" s="22">
        <f t="shared" si="1"/>
        <v>0</v>
      </c>
      <c r="E71" s="22">
        <f t="shared" si="2"/>
        <v>29.85902499096822</v>
      </c>
      <c r="F71" s="22">
        <v>0</v>
      </c>
      <c r="G71" s="22">
        <f>IF(B71&gt;G$24*G$27+G$33,0,(SUM(D$65:D70)*((1+G$22/G$23)^((B71-G$33)/(12/G$23))-1))-SUM(G$64:G70))</f>
        <v>0</v>
      </c>
      <c r="H71" s="2"/>
      <c r="K71" s="2">
        <f t="shared" si="3"/>
        <v>29.85902499096822</v>
      </c>
      <c r="L71" s="2">
        <f t="shared" si="4"/>
        <v>29.85902499096822</v>
      </c>
    </row>
    <row r="72" spans="1:12" ht="18.75">
      <c r="A72" s="8" t="s">
        <v>75</v>
      </c>
      <c r="B72" s="21">
        <v>8</v>
      </c>
      <c r="C72" s="22">
        <f t="shared" si="0"/>
        <v>0</v>
      </c>
      <c r="D72" s="22">
        <f t="shared" si="1"/>
        <v>0</v>
      </c>
      <c r="E72" s="22">
        <f t="shared" si="2"/>
        <v>29.85902499096822</v>
      </c>
      <c r="F72" s="22">
        <v>0</v>
      </c>
      <c r="G72" s="22">
        <f>IF(B72&gt;G$24*G$27+G$33,0,(SUM(D$65:D71)*((1+G$22/G$23)^((B72-G$33)/(12/G$23))-1))-SUM(G$64:G71))</f>
        <v>0</v>
      </c>
      <c r="H72" s="2"/>
      <c r="K72" s="2">
        <f t="shared" si="3"/>
        <v>29.85902499096822</v>
      </c>
      <c r="L72" s="2">
        <f t="shared" si="4"/>
        <v>29.85902499096822</v>
      </c>
    </row>
    <row r="73" spans="1:12" ht="18.75">
      <c r="A73" s="8" t="s">
        <v>55</v>
      </c>
      <c r="B73" s="21">
        <v>9</v>
      </c>
      <c r="C73" s="22">
        <f t="shared" si="0"/>
        <v>0</v>
      </c>
      <c r="D73" s="22">
        <f t="shared" si="1"/>
        <v>0</v>
      </c>
      <c r="E73" s="22">
        <f t="shared" si="2"/>
        <v>29.85902499096822</v>
      </c>
      <c r="F73" s="22">
        <v>0</v>
      </c>
      <c r="G73" s="22">
        <f>IF(B73&gt;G$24*G$27+G$33,0,(SUM(D$65:D72)*((1+G$22/G$23)^((B73-G$33)/(12/G$23))-1))-SUM(G$64:G72))</f>
        <v>0</v>
      </c>
      <c r="H73" s="2"/>
      <c r="J73" s="2">
        <f>I76*$G$34*0.3</f>
        <v>-12.37837951463148</v>
      </c>
      <c r="K73" s="2">
        <f t="shared" si="3"/>
        <v>29.85902499096822</v>
      </c>
      <c r="L73" s="2">
        <f>C73+E73-J70+D73</f>
        <v>42.2374045055997</v>
      </c>
    </row>
    <row r="74" spans="1:12" ht="18.75">
      <c r="A74" s="8" t="s">
        <v>49</v>
      </c>
      <c r="B74" s="21">
        <v>10</v>
      </c>
      <c r="C74" s="22">
        <f t="shared" si="0"/>
        <v>0</v>
      </c>
      <c r="D74" s="22">
        <f t="shared" si="1"/>
        <v>0</v>
      </c>
      <c r="E74" s="22">
        <f t="shared" si="2"/>
        <v>29.85902499096822</v>
      </c>
      <c r="F74" s="22">
        <v>0</v>
      </c>
      <c r="G74" s="22">
        <f>IF(B74&gt;G$24*G$27+G$33,0,(SUM(D$65:D73)*((1+G$22/G$23)^((B74-G$33)/(12/G$23))-1))-SUM(G$64:G73))</f>
        <v>0</v>
      </c>
      <c r="H74" s="2"/>
      <c r="K74" s="2">
        <f t="shared" si="3"/>
        <v>29.85902499096822</v>
      </c>
      <c r="L74" s="2">
        <f aca="true" t="shared" si="5" ref="L74:L105">C74+E74-J74+D74</f>
        <v>29.85902499096822</v>
      </c>
    </row>
    <row r="75" spans="1:12" ht="18.75">
      <c r="A75" s="8" t="s">
        <v>76</v>
      </c>
      <c r="B75" s="21">
        <v>11</v>
      </c>
      <c r="C75" s="22">
        <f t="shared" si="0"/>
        <v>0</v>
      </c>
      <c r="D75" s="22">
        <f t="shared" si="1"/>
        <v>0</v>
      </c>
      <c r="E75" s="22">
        <f t="shared" si="2"/>
        <v>29.85902499096822</v>
      </c>
      <c r="F75" s="22">
        <v>0</v>
      </c>
      <c r="G75" s="22">
        <f>IF(B75&gt;G$24*G$27+G$33,0,(SUM(D$65:D74)*((1+G$22/G$23)^((B75-G$33)/(12/G$23))-1))-SUM(G$64:G74))</f>
        <v>0</v>
      </c>
      <c r="H75" s="2"/>
      <c r="K75" s="2">
        <f t="shared" si="3"/>
        <v>29.85902499096822</v>
      </c>
      <c r="L75" s="2">
        <f t="shared" si="5"/>
        <v>29.85902499096822</v>
      </c>
    </row>
    <row r="76" spans="1:12" ht="18.75">
      <c r="A76" s="8" t="s">
        <v>50</v>
      </c>
      <c r="B76" s="21">
        <v>12</v>
      </c>
      <c r="C76" s="22">
        <f t="shared" si="0"/>
        <v>0</v>
      </c>
      <c r="D76" s="22">
        <f t="shared" si="1"/>
        <v>0</v>
      </c>
      <c r="E76" s="22">
        <f t="shared" si="2"/>
        <v>29.85902499096822</v>
      </c>
      <c r="F76" s="22">
        <f>$G$30*$G$19</f>
        <v>450</v>
      </c>
      <c r="G76" s="22">
        <f>IF(B76&gt;G$24*G$27+G$33,0,(SUM(D$65:D75)*((1+G$22/G$23)^((B76-G$33)/(12/G$23))-1))-SUM(G$64:G75))</f>
        <v>0</v>
      </c>
      <c r="H76" s="2">
        <f>G19*G32</f>
        <v>0</v>
      </c>
      <c r="I76" s="2">
        <f>SUM(E65:E76)-F76-SUM(G65:G76)-H76</f>
        <v>-91.69170010838133</v>
      </c>
      <c r="J76" s="2">
        <f>I76*$G$34*0.25</f>
        <v>-10.3153162621929</v>
      </c>
      <c r="K76" s="2">
        <f t="shared" si="3"/>
        <v>29.85902499096822</v>
      </c>
      <c r="L76" s="2">
        <f t="shared" si="5"/>
        <v>40.17434125316112</v>
      </c>
    </row>
    <row r="77" spans="1:12" ht="18.75">
      <c r="A77" s="8" t="s">
        <v>51</v>
      </c>
      <c r="B77" s="21">
        <v>13</v>
      </c>
      <c r="C77" s="22">
        <f aca="true" t="shared" si="6" ref="C77:C108">IF(B77=(G$24)*G$27+G$33,G$19*G$29,0)</f>
        <v>0</v>
      </c>
      <c r="D77" s="22">
        <f aca="true" t="shared" si="7" ref="D77:D108">IF(B77=($G$24)*G$27+G$33,-G$19*G$21*((1+G$22/G$23)^(G$24*G$23)),0)</f>
        <v>0</v>
      </c>
      <c r="E77" s="22">
        <f aca="true" t="shared" si="8" ref="E77:E108">IF(B77&lt;$G$33,0,IF(B77&lt;=G$24*G$27+$G$33-1,+(G$17*12/G$27),0))</f>
        <v>29.85902499096822</v>
      </c>
      <c r="F77" s="22">
        <v>0</v>
      </c>
      <c r="G77" s="22">
        <f>IF(B77&gt;G$24*G$27+G$33,0,(SUM(D$65:D76)*((1+G$22/G$23)^((B77-G$33)/(12/G$23))-1))-SUM(G$64:G76))</f>
        <v>0</v>
      </c>
      <c r="H77" s="2"/>
      <c r="K77" s="2">
        <f t="shared" si="3"/>
        <v>29.85902499096822</v>
      </c>
      <c r="L77" s="2">
        <f t="shared" si="5"/>
        <v>29.85902499096822</v>
      </c>
    </row>
    <row r="78" spans="1:12" ht="18.75">
      <c r="A78" s="8" t="s">
        <v>72</v>
      </c>
      <c r="B78" s="21">
        <v>14</v>
      </c>
      <c r="C78" s="22">
        <f t="shared" si="6"/>
        <v>0</v>
      </c>
      <c r="D78" s="22">
        <f t="shared" si="7"/>
        <v>0</v>
      </c>
      <c r="E78" s="22">
        <f t="shared" si="8"/>
        <v>29.85902499096822</v>
      </c>
      <c r="F78" s="22">
        <v>0</v>
      </c>
      <c r="G78" s="22">
        <f>IF(B78&gt;G$24*G$27+G$33,0,(SUM(D$65:D77)*((1+G$22/G$23)^((B78-G$33)/(12/G$23))-1))-SUM(G$64:G77))</f>
        <v>0</v>
      </c>
      <c r="H78" s="2"/>
      <c r="K78" s="2">
        <f t="shared" si="3"/>
        <v>29.85902499096822</v>
      </c>
      <c r="L78" s="2">
        <f t="shared" si="5"/>
        <v>29.85902499096822</v>
      </c>
    </row>
    <row r="79" spans="1:12" ht="18.75">
      <c r="A79" s="8" t="s">
        <v>52</v>
      </c>
      <c r="B79" s="21">
        <v>15</v>
      </c>
      <c r="C79" s="22">
        <f t="shared" si="6"/>
        <v>0</v>
      </c>
      <c r="D79" s="22">
        <f t="shared" si="7"/>
        <v>0</v>
      </c>
      <c r="E79" s="22">
        <f t="shared" si="8"/>
        <v>29.85902499096822</v>
      </c>
      <c r="F79" s="22">
        <v>0</v>
      </c>
      <c r="G79" s="22">
        <f>IF(B79&gt;G$24*G$27+G$33,0,(SUM(D$65:D78)*((1+G$22/G$23)^((B79-G$33)/(12/G$23))-1))-SUM(G$64:G78))</f>
        <v>0</v>
      </c>
      <c r="H79" s="2"/>
      <c r="J79" s="2">
        <f>I88*G$34*0.15</f>
        <v>16.76081024268426</v>
      </c>
      <c r="K79" s="2">
        <f t="shared" si="3"/>
        <v>29.85902499096822</v>
      </c>
      <c r="L79" s="2">
        <f t="shared" si="5"/>
        <v>13.098214748283958</v>
      </c>
    </row>
    <row r="80" spans="1:12" ht="18.75">
      <c r="A80" s="8" t="s">
        <v>73</v>
      </c>
      <c r="B80" s="21">
        <v>16</v>
      </c>
      <c r="C80" s="22">
        <f t="shared" si="6"/>
        <v>0</v>
      </c>
      <c r="D80" s="22">
        <f t="shared" si="7"/>
        <v>0</v>
      </c>
      <c r="E80" s="22">
        <f t="shared" si="8"/>
        <v>29.85902499096822</v>
      </c>
      <c r="F80" s="22">
        <v>0</v>
      </c>
      <c r="G80" s="22">
        <f>IF(B80&gt;G$24*G$27+G$33,0,(SUM(D$65:D79)*((1+G$22/G$23)^((B80-G$33)/(12/G$23))-1))-SUM(G$64:G79))</f>
        <v>0</v>
      </c>
      <c r="H80" s="2"/>
      <c r="K80" s="2">
        <f t="shared" si="3"/>
        <v>29.85902499096822</v>
      </c>
      <c r="L80" s="2">
        <f t="shared" si="5"/>
        <v>29.85902499096822</v>
      </c>
    </row>
    <row r="81" spans="1:12" ht="18.75">
      <c r="A81" s="8" t="s">
        <v>53</v>
      </c>
      <c r="B81" s="21">
        <v>17</v>
      </c>
      <c r="C81" s="22">
        <f t="shared" si="6"/>
        <v>0</v>
      </c>
      <c r="D81" s="22">
        <f t="shared" si="7"/>
        <v>0</v>
      </c>
      <c r="E81" s="22">
        <f t="shared" si="8"/>
        <v>29.85902499096822</v>
      </c>
      <c r="F81" s="22">
        <v>0</v>
      </c>
      <c r="G81" s="22">
        <f>IF(B81&gt;G$24*G$27+G$33,0,(SUM(D$65:D80)*((1+G$22/G$23)^((B81-G$33)/(12/G$23))-1))-SUM(G$64:G80))</f>
        <v>0</v>
      </c>
      <c r="H81" s="2"/>
      <c r="K81" s="2">
        <f t="shared" si="3"/>
        <v>29.85902499096822</v>
      </c>
      <c r="L81" s="2">
        <f t="shared" si="5"/>
        <v>29.85902499096822</v>
      </c>
    </row>
    <row r="82" spans="1:12" ht="18.75">
      <c r="A82" s="8" t="s">
        <v>54</v>
      </c>
      <c r="B82" s="21">
        <v>18</v>
      </c>
      <c r="C82" s="22">
        <f t="shared" si="6"/>
        <v>0</v>
      </c>
      <c r="D82" s="22">
        <f t="shared" si="7"/>
        <v>0</v>
      </c>
      <c r="E82" s="22">
        <f t="shared" si="8"/>
        <v>29.85902499096822</v>
      </c>
      <c r="F82" s="22">
        <v>0</v>
      </c>
      <c r="G82" s="22">
        <f>IF(B82&gt;G$24*G$27+G$33,0,(SUM(D$65:D81)*((1+G$22/G$23)^((B82-G$33)/(12/G$23))-1))-SUM(G$64:G81))</f>
        <v>0</v>
      </c>
      <c r="H82" s="2"/>
      <c r="J82" s="2">
        <f>I88*$G$34*0.3</f>
        <v>33.52162048536852</v>
      </c>
      <c r="K82" s="2">
        <f t="shared" si="3"/>
        <v>29.85902499096822</v>
      </c>
      <c r="L82" s="2">
        <f t="shared" si="5"/>
        <v>-3.6625954944003034</v>
      </c>
    </row>
    <row r="83" spans="1:12" ht="18.75">
      <c r="A83" s="8" t="s">
        <v>74</v>
      </c>
      <c r="B83" s="21">
        <v>19</v>
      </c>
      <c r="C83" s="22">
        <f t="shared" si="6"/>
        <v>0</v>
      </c>
      <c r="D83" s="22">
        <f t="shared" si="7"/>
        <v>0</v>
      </c>
      <c r="E83" s="22">
        <f t="shared" si="8"/>
        <v>29.85902499096822</v>
      </c>
      <c r="F83" s="22">
        <v>0</v>
      </c>
      <c r="G83" s="22">
        <f>IF(B83&gt;G$24*G$27+G$33,0,(SUM(D$65:D82)*((1+G$22/G$23)^((B83-G$33)/(12/G$23))-1))-SUM(G$64:G82))</f>
        <v>0</v>
      </c>
      <c r="H83" s="2"/>
      <c r="K83" s="2">
        <f t="shared" si="3"/>
        <v>29.85902499096822</v>
      </c>
      <c r="L83" s="2">
        <f t="shared" si="5"/>
        <v>29.85902499096822</v>
      </c>
    </row>
    <row r="84" spans="1:12" ht="18.75">
      <c r="A84" s="8" t="s">
        <v>75</v>
      </c>
      <c r="B84" s="21">
        <v>20</v>
      </c>
      <c r="C84" s="22">
        <f t="shared" si="6"/>
        <v>0</v>
      </c>
      <c r="D84" s="22">
        <f t="shared" si="7"/>
        <v>0</v>
      </c>
      <c r="E84" s="22">
        <f t="shared" si="8"/>
        <v>29.85902499096822</v>
      </c>
      <c r="F84" s="22">
        <v>0</v>
      </c>
      <c r="G84" s="22">
        <f>IF(B84&gt;G$24*G$27+G$33,0,(SUM(D$65:D83)*((1+G$22/G$23)^((B84-G$33)/(12/G$23))-1))-SUM(G$64:G83))</f>
        <v>0</v>
      </c>
      <c r="H84" s="2"/>
      <c r="K84" s="2">
        <f t="shared" si="3"/>
        <v>29.85902499096822</v>
      </c>
      <c r="L84" s="2">
        <f t="shared" si="5"/>
        <v>29.85902499096822</v>
      </c>
    </row>
    <row r="85" spans="1:12" ht="18.75">
      <c r="A85" s="8" t="s">
        <v>55</v>
      </c>
      <c r="B85" s="21">
        <v>21</v>
      </c>
      <c r="C85" s="22">
        <f t="shared" si="6"/>
        <v>0</v>
      </c>
      <c r="D85" s="22">
        <f t="shared" si="7"/>
        <v>0</v>
      </c>
      <c r="E85" s="22">
        <f t="shared" si="8"/>
        <v>29.85902499096822</v>
      </c>
      <c r="F85" s="22">
        <v>0</v>
      </c>
      <c r="G85" s="22">
        <f>IF(B85&gt;G$24*G$27+G$33,0,(SUM(D$65:D84)*((1+G$22/G$23)^((B85-G$33)/(12/G$23))-1))-SUM(G$64:G84))</f>
        <v>0</v>
      </c>
      <c r="H85" s="2"/>
      <c r="J85" s="2">
        <f>I88*$G$34*0.3</f>
        <v>33.52162048536852</v>
      </c>
      <c r="K85" s="2">
        <f t="shared" si="3"/>
        <v>29.85902499096822</v>
      </c>
      <c r="L85" s="2">
        <f t="shared" si="5"/>
        <v>-3.6625954944003034</v>
      </c>
    </row>
    <row r="86" spans="1:12" ht="18.75">
      <c r="A86" s="8" t="s">
        <v>49</v>
      </c>
      <c r="B86" s="21">
        <v>22</v>
      </c>
      <c r="C86" s="22">
        <f t="shared" si="6"/>
        <v>0</v>
      </c>
      <c r="D86" s="22">
        <f t="shared" si="7"/>
        <v>0</v>
      </c>
      <c r="E86" s="22">
        <f t="shared" si="8"/>
        <v>29.85902499096822</v>
      </c>
      <c r="F86" s="22">
        <v>0</v>
      </c>
      <c r="G86" s="22">
        <f>IF(B86&gt;G$24*G$27+G$33,0,(SUM(D$65:D85)*((1+G$22/G$23)^((B86-G$33)/(12/G$23))-1))-SUM(G$64:G85))</f>
        <v>0</v>
      </c>
      <c r="H86" s="2"/>
      <c r="K86" s="2">
        <f t="shared" si="3"/>
        <v>29.85902499096822</v>
      </c>
      <c r="L86" s="2">
        <f t="shared" si="5"/>
        <v>29.85902499096822</v>
      </c>
    </row>
    <row r="87" spans="1:12" ht="18.75">
      <c r="A87" s="8" t="s">
        <v>76</v>
      </c>
      <c r="B87" s="21">
        <v>23</v>
      </c>
      <c r="C87" s="22">
        <f t="shared" si="6"/>
        <v>0</v>
      </c>
      <c r="D87" s="22">
        <f t="shared" si="7"/>
        <v>0</v>
      </c>
      <c r="E87" s="22">
        <f t="shared" si="8"/>
        <v>29.85902499096822</v>
      </c>
      <c r="F87" s="22">
        <v>0</v>
      </c>
      <c r="G87" s="22">
        <f>IF(B87&gt;G$24*G$27+G$33,0,(SUM(D$65:D86)*((1+G$22/G$23)^((B87-G$33)/(12/G$23))-1))-SUM(G$64:G86))</f>
        <v>0</v>
      </c>
      <c r="H87" s="2"/>
      <c r="K87" s="2">
        <f t="shared" si="3"/>
        <v>29.85902499096822</v>
      </c>
      <c r="L87" s="2">
        <f t="shared" si="5"/>
        <v>29.85902499096822</v>
      </c>
    </row>
    <row r="88" spans="1:12" ht="18.75">
      <c r="A88" s="8" t="s">
        <v>50</v>
      </c>
      <c r="B88" s="21">
        <v>24</v>
      </c>
      <c r="C88" s="22">
        <f t="shared" si="6"/>
        <v>0</v>
      </c>
      <c r="D88" s="22">
        <f t="shared" si="7"/>
        <v>0</v>
      </c>
      <c r="E88" s="22">
        <f t="shared" si="8"/>
        <v>29.85902499096822</v>
      </c>
      <c r="F88" s="23">
        <f>IF(B88&lt;(G$24+G$25)*G$27+G$33,($G$19-SUM(F$62:F87)-SUM(C$77:C88))*$G$31,G$19-SUM(F$62:F87)-SUM(C$77:C88)*1)</f>
        <v>110</v>
      </c>
      <c r="G88" s="22">
        <f>IF(B88&gt;G$24*G$27+G$33,0,(SUM(D$65:D87)*((1+G$22/G$23)^((B88-G$33)/(12/G$23))-1))-SUM(G$64:G87))</f>
        <v>0</v>
      </c>
      <c r="H88" s="2"/>
      <c r="I88" s="2">
        <f>SUM(E77:E88)-F88-SUM(G77:G88)</f>
        <v>248.30829989161867</v>
      </c>
      <c r="J88" s="2">
        <f>I88*$G$34*0.25</f>
        <v>27.934683737807102</v>
      </c>
      <c r="K88" s="2">
        <f t="shared" si="3"/>
        <v>29.85902499096822</v>
      </c>
      <c r="L88" s="2">
        <f t="shared" si="5"/>
        <v>1.924341253161117</v>
      </c>
    </row>
    <row r="89" spans="1:12" ht="18.75">
      <c r="A89" s="8" t="s">
        <v>51</v>
      </c>
      <c r="B89" s="21">
        <v>25</v>
      </c>
      <c r="C89" s="22">
        <f t="shared" si="6"/>
        <v>0</v>
      </c>
      <c r="D89" s="22">
        <f t="shared" si="7"/>
        <v>0</v>
      </c>
      <c r="E89" s="22">
        <f t="shared" si="8"/>
        <v>29.85902499096822</v>
      </c>
      <c r="F89" s="22">
        <v>0</v>
      </c>
      <c r="G89" s="22">
        <f>IF(B89&gt;G$24*G$27+G$33,0,(SUM(D$65:D88)*((1+G$22/G$23)^((B89-G$33)/(12/G$23))-1))-SUM(G$64:G88))</f>
        <v>0</v>
      </c>
      <c r="H89" s="2"/>
      <c r="K89" s="2">
        <f t="shared" si="3"/>
        <v>29.85902499096822</v>
      </c>
      <c r="L89" s="2">
        <f t="shared" si="5"/>
        <v>29.85902499096822</v>
      </c>
    </row>
    <row r="90" spans="1:12" ht="18.75">
      <c r="A90" s="8" t="s">
        <v>72</v>
      </c>
      <c r="B90" s="21">
        <v>26</v>
      </c>
      <c r="C90" s="22">
        <f t="shared" si="6"/>
        <v>0</v>
      </c>
      <c r="D90" s="22">
        <f t="shared" si="7"/>
        <v>0</v>
      </c>
      <c r="E90" s="22">
        <f t="shared" si="8"/>
        <v>29.85902499096822</v>
      </c>
      <c r="F90" s="22">
        <v>0</v>
      </c>
      <c r="G90" s="22">
        <f>IF(B90&gt;G$24*G$27+G$33,0,(SUM(D$65:D89)*((1+G$22/G$23)^((B90-G$33)/(12/G$23))-1))-SUM(G$64:G89))</f>
        <v>0</v>
      </c>
      <c r="H90" s="2"/>
      <c r="K90" s="2">
        <f t="shared" si="3"/>
        <v>29.85902499096822</v>
      </c>
      <c r="L90" s="2">
        <f t="shared" si="5"/>
        <v>29.85902499096822</v>
      </c>
    </row>
    <row r="91" spans="1:12" ht="18.75">
      <c r="A91" s="8" t="s">
        <v>52</v>
      </c>
      <c r="B91" s="21">
        <v>27</v>
      </c>
      <c r="C91" s="22">
        <f t="shared" si="6"/>
        <v>0</v>
      </c>
      <c r="D91" s="22">
        <f t="shared" si="7"/>
        <v>0</v>
      </c>
      <c r="E91" s="22">
        <f t="shared" si="8"/>
        <v>29.85902499096822</v>
      </c>
      <c r="F91" s="22">
        <v>0</v>
      </c>
      <c r="G91" s="22">
        <f>IF(B91&gt;G$24*G$27+G$33,0,(SUM(D$65:D90)*((1+G$22/G$23)^((B91-G$33)/(12/G$23))-1))-SUM(G$64:G90))</f>
        <v>0</v>
      </c>
      <c r="H91" s="2"/>
      <c r="J91" s="2">
        <f>I100*G$34*0.15</f>
        <v>18.24581024268426</v>
      </c>
      <c r="K91" s="2">
        <f t="shared" si="3"/>
        <v>29.85902499096822</v>
      </c>
      <c r="L91" s="2">
        <f t="shared" si="5"/>
        <v>11.613214748283958</v>
      </c>
    </row>
    <row r="92" spans="1:12" ht="18.75">
      <c r="A92" s="8" t="s">
        <v>73</v>
      </c>
      <c r="B92" s="21">
        <v>28</v>
      </c>
      <c r="C92" s="22">
        <f t="shared" si="6"/>
        <v>0</v>
      </c>
      <c r="D92" s="22">
        <f t="shared" si="7"/>
        <v>0</v>
      </c>
      <c r="E92" s="22">
        <f t="shared" si="8"/>
        <v>29.85902499096822</v>
      </c>
      <c r="F92" s="22">
        <v>0</v>
      </c>
      <c r="G92" s="22">
        <f>IF(B92&gt;G$24*G$27+G$33,0,(SUM(D$65:D91)*((1+G$22/G$23)^((B92-G$33)/(12/G$23))-1))-SUM(G$64:G91))</f>
        <v>0</v>
      </c>
      <c r="H92" s="2"/>
      <c r="K92" s="2">
        <f t="shared" si="3"/>
        <v>29.85902499096822</v>
      </c>
      <c r="L92" s="2">
        <f t="shared" si="5"/>
        <v>29.85902499096822</v>
      </c>
    </row>
    <row r="93" spans="1:12" ht="18.75">
      <c r="A93" s="8" t="s">
        <v>53</v>
      </c>
      <c r="B93" s="21">
        <v>29</v>
      </c>
      <c r="C93" s="22">
        <f t="shared" si="6"/>
        <v>0</v>
      </c>
      <c r="D93" s="22">
        <f t="shared" si="7"/>
        <v>0</v>
      </c>
      <c r="E93" s="22">
        <f t="shared" si="8"/>
        <v>29.85902499096822</v>
      </c>
      <c r="F93" s="22">
        <v>0</v>
      </c>
      <c r="G93" s="22">
        <f>IF(B93&gt;G$24*G$27+G$33,0,(SUM(D$65:D92)*((1+G$22/G$23)^((B93-G$33)/(12/G$23))-1))-SUM(G$64:G92))</f>
        <v>0</v>
      </c>
      <c r="H93" s="2"/>
      <c r="K93" s="2">
        <f t="shared" si="3"/>
        <v>29.85902499096822</v>
      </c>
      <c r="L93" s="2">
        <f t="shared" si="5"/>
        <v>29.85902499096822</v>
      </c>
    </row>
    <row r="94" spans="1:12" ht="18.75">
      <c r="A94" s="8" t="s">
        <v>54</v>
      </c>
      <c r="B94" s="21">
        <v>30</v>
      </c>
      <c r="C94" s="22">
        <f t="shared" si="6"/>
        <v>0</v>
      </c>
      <c r="D94" s="22">
        <f t="shared" si="7"/>
        <v>0</v>
      </c>
      <c r="E94" s="22">
        <f t="shared" si="8"/>
        <v>29.85902499096822</v>
      </c>
      <c r="F94" s="22">
        <v>0</v>
      </c>
      <c r="G94" s="22">
        <f>IF(B94&gt;G$24*G$27+G$33,0,(SUM(D$65:D93)*((1+G$22/G$23)^((B94-G$33)/(12/G$23))-1))-SUM(G$64:G93))</f>
        <v>0</v>
      </c>
      <c r="H94" s="2"/>
      <c r="J94" s="2">
        <f>I100*$G$34*0.3</f>
        <v>36.49162048536852</v>
      </c>
      <c r="K94" s="2">
        <f t="shared" si="3"/>
        <v>29.85902499096822</v>
      </c>
      <c r="L94" s="2">
        <f t="shared" si="5"/>
        <v>-6.632595494400302</v>
      </c>
    </row>
    <row r="95" spans="1:12" ht="18.75">
      <c r="A95" s="8" t="s">
        <v>74</v>
      </c>
      <c r="B95" s="21">
        <v>31</v>
      </c>
      <c r="C95" s="22">
        <f t="shared" si="6"/>
        <v>0</v>
      </c>
      <c r="D95" s="22">
        <f t="shared" si="7"/>
        <v>0</v>
      </c>
      <c r="E95" s="22">
        <f t="shared" si="8"/>
        <v>29.85902499096822</v>
      </c>
      <c r="F95" s="22">
        <v>0</v>
      </c>
      <c r="G95" s="22">
        <f>IF(B95&gt;G$24*G$27+G$33,0,(SUM(D$65:D94)*((1+G$22/G$23)^((B95-G$33)/(12/G$23))-1))-SUM(G$64:G94))</f>
        <v>0</v>
      </c>
      <c r="H95" s="2"/>
      <c r="K95" s="2">
        <f t="shared" si="3"/>
        <v>29.85902499096822</v>
      </c>
      <c r="L95" s="2">
        <f t="shared" si="5"/>
        <v>29.85902499096822</v>
      </c>
    </row>
    <row r="96" spans="1:12" ht="18.75">
      <c r="A96" s="8" t="s">
        <v>75</v>
      </c>
      <c r="B96" s="21">
        <v>32</v>
      </c>
      <c r="C96" s="22">
        <f t="shared" si="6"/>
        <v>0</v>
      </c>
      <c r="D96" s="22">
        <f t="shared" si="7"/>
        <v>0</v>
      </c>
      <c r="E96" s="22">
        <f t="shared" si="8"/>
        <v>29.85902499096822</v>
      </c>
      <c r="F96" s="22">
        <v>0</v>
      </c>
      <c r="G96" s="22">
        <f>IF(B96&gt;G$24*G$27+G$33,0,(SUM(D$65:D95)*((1+G$22/G$23)^((B96-G$33)/(12/G$23))-1))-SUM(G$64:G95))</f>
        <v>0</v>
      </c>
      <c r="H96" s="2"/>
      <c r="K96" s="2">
        <f t="shared" si="3"/>
        <v>29.85902499096822</v>
      </c>
      <c r="L96" s="2">
        <f t="shared" si="5"/>
        <v>29.85902499096822</v>
      </c>
    </row>
    <row r="97" spans="1:12" ht="18.75">
      <c r="A97" s="8" t="s">
        <v>55</v>
      </c>
      <c r="B97" s="21">
        <v>33</v>
      </c>
      <c r="C97" s="22">
        <f t="shared" si="6"/>
        <v>0</v>
      </c>
      <c r="D97" s="22">
        <f t="shared" si="7"/>
        <v>0</v>
      </c>
      <c r="E97" s="22">
        <f t="shared" si="8"/>
        <v>29.85902499096822</v>
      </c>
      <c r="F97" s="22">
        <v>0</v>
      </c>
      <c r="G97" s="22">
        <f>IF(B97&gt;G$24*G$27+G$33,0,(SUM(D$65:D96)*((1+G$22/G$23)^((B97-G$33)/(12/G$23))-1))-SUM(G$64:G96))</f>
        <v>0</v>
      </c>
      <c r="H97" s="2"/>
      <c r="J97" s="2">
        <f>I100*$G$34*0.3</f>
        <v>36.49162048536852</v>
      </c>
      <c r="K97" s="2">
        <f aca="true" t="shared" si="9" ref="K97:K128">C97+D97+E97</f>
        <v>29.85902499096822</v>
      </c>
      <c r="L97" s="2">
        <f t="shared" si="5"/>
        <v>-6.632595494400302</v>
      </c>
    </row>
    <row r="98" spans="1:12" ht="18.75">
      <c r="A98" s="8" t="s">
        <v>49</v>
      </c>
      <c r="B98" s="21">
        <v>34</v>
      </c>
      <c r="C98" s="22">
        <f t="shared" si="6"/>
        <v>0</v>
      </c>
      <c r="D98" s="22">
        <f t="shared" si="7"/>
        <v>0</v>
      </c>
      <c r="E98" s="22">
        <f t="shared" si="8"/>
        <v>29.85902499096822</v>
      </c>
      <c r="F98" s="22">
        <v>0</v>
      </c>
      <c r="G98" s="22">
        <f>IF(B98&gt;G$24*G$27+G$33,0,(SUM(D$65:D97)*((1+G$22/G$23)^((B98-G$33)/(12/G$23))-1))-SUM(G$64:G97))</f>
        <v>0</v>
      </c>
      <c r="H98" s="2"/>
      <c r="K98" s="2">
        <f t="shared" si="9"/>
        <v>29.85902499096822</v>
      </c>
      <c r="L98" s="2">
        <f t="shared" si="5"/>
        <v>29.85902499096822</v>
      </c>
    </row>
    <row r="99" spans="1:12" ht="18.75">
      <c r="A99" s="8" t="s">
        <v>76</v>
      </c>
      <c r="B99" s="21">
        <v>35</v>
      </c>
      <c r="C99" s="22">
        <f t="shared" si="6"/>
        <v>0</v>
      </c>
      <c r="D99" s="22">
        <f t="shared" si="7"/>
        <v>0</v>
      </c>
      <c r="E99" s="22">
        <f t="shared" si="8"/>
        <v>29.85902499096822</v>
      </c>
      <c r="F99" s="22">
        <v>0</v>
      </c>
      <c r="G99" s="22">
        <f>IF(B99&gt;G$24*G$27+G$33,0,(SUM(D$65:D98)*((1+G$22/G$23)^((B99-G$33)/(12/G$23))-1))-SUM(G$64:G98))</f>
        <v>0</v>
      </c>
      <c r="H99" s="2"/>
      <c r="K99" s="2">
        <f t="shared" si="9"/>
        <v>29.85902499096822</v>
      </c>
      <c r="L99" s="2">
        <f t="shared" si="5"/>
        <v>29.85902499096822</v>
      </c>
    </row>
    <row r="100" spans="1:12" ht="18.75">
      <c r="A100" s="8" t="s">
        <v>50</v>
      </c>
      <c r="B100" s="21">
        <v>36</v>
      </c>
      <c r="C100" s="22">
        <f t="shared" si="6"/>
        <v>0</v>
      </c>
      <c r="D100" s="22">
        <f t="shared" si="7"/>
        <v>0</v>
      </c>
      <c r="E100" s="22">
        <f t="shared" si="8"/>
        <v>29.85902499096822</v>
      </c>
      <c r="F100" s="23">
        <f>IF(B100&lt;(G$24+G$25)*G$27+G$33,($G$19-SUM(F$62:F99)-SUM(C$77:C100))*$G$31,G$19-SUM(F$62:F99)-SUM(C$77:C100)*1)</f>
        <v>88</v>
      </c>
      <c r="G100" s="22">
        <f>IF(B100&gt;G$24*G$27+G$33,0,(SUM(D$65:D99)*((1+G$22/G$23)^((B100-G$33)/(12/G$23))-1))-SUM(G$64:G99))</f>
        <v>0</v>
      </c>
      <c r="H100" s="2"/>
      <c r="I100" s="2">
        <f>SUM(E89:E100)-F100-SUM(G89:G100)</f>
        <v>270.3082998916187</v>
      </c>
      <c r="J100" s="2">
        <f>I100*$G$34*0.25</f>
        <v>30.4096837378071</v>
      </c>
      <c r="K100" s="2">
        <f t="shared" si="9"/>
        <v>29.85902499096822</v>
      </c>
      <c r="L100" s="2">
        <f t="shared" si="5"/>
        <v>-0.5506587468388808</v>
      </c>
    </row>
    <row r="101" spans="1:12" ht="18.75">
      <c r="A101" s="8" t="s">
        <v>51</v>
      </c>
      <c r="B101" s="21">
        <v>37</v>
      </c>
      <c r="C101" s="22">
        <f t="shared" si="6"/>
        <v>200</v>
      </c>
      <c r="D101" s="22">
        <f t="shared" si="7"/>
        <v>0</v>
      </c>
      <c r="E101" s="22">
        <f t="shared" si="8"/>
        <v>0</v>
      </c>
      <c r="F101" s="22">
        <v>0</v>
      </c>
      <c r="G101" s="22">
        <f>IF(B101&gt;G$24*G$27+G$33,0,(SUM(D$65:D100)*((1+G$22/G$23)^((B101-G$33)/(12/G$23))-1))-SUM(G$64:G100))</f>
        <v>0</v>
      </c>
      <c r="H101" s="2"/>
      <c r="K101" s="2">
        <f t="shared" si="9"/>
        <v>200</v>
      </c>
      <c r="L101" s="2">
        <f t="shared" si="5"/>
        <v>200</v>
      </c>
    </row>
    <row r="102" spans="1:12" ht="18.75">
      <c r="A102" s="8" t="s">
        <v>72</v>
      </c>
      <c r="B102" s="21">
        <v>38</v>
      </c>
      <c r="C102" s="22">
        <f t="shared" si="6"/>
        <v>0</v>
      </c>
      <c r="D102" s="22">
        <f t="shared" si="7"/>
        <v>0</v>
      </c>
      <c r="E102" s="22">
        <f t="shared" si="8"/>
        <v>0</v>
      </c>
      <c r="F102" s="22">
        <v>0</v>
      </c>
      <c r="G102" s="22">
        <f>IF(B102&gt;G$24*G$27+G$33,0,(SUM(D$65:D101)*((1+G$22/G$23)^((B102-G$33)/(12/G$23))-1))-SUM(G$64:G101))</f>
        <v>0</v>
      </c>
      <c r="H102" s="2"/>
      <c r="K102" s="2">
        <f t="shared" si="9"/>
        <v>0</v>
      </c>
      <c r="L102" s="2">
        <f t="shared" si="5"/>
        <v>0</v>
      </c>
    </row>
    <row r="103" spans="1:12" ht="18.75">
      <c r="A103" s="8" t="s">
        <v>52</v>
      </c>
      <c r="B103" s="21">
        <v>39</v>
      </c>
      <c r="C103" s="22">
        <f t="shared" si="6"/>
        <v>0</v>
      </c>
      <c r="D103" s="22">
        <f t="shared" si="7"/>
        <v>0</v>
      </c>
      <c r="E103" s="22">
        <f t="shared" si="8"/>
        <v>0</v>
      </c>
      <c r="F103" s="22">
        <v>0</v>
      </c>
      <c r="G103" s="22">
        <f>IF(B103&gt;G$24*G$27+G$33,0,(SUM(D$65:D102)*((1+G$22/G$23)^((B103-G$33)/(12/G$23))-1))-SUM(G$64:G102))</f>
        <v>0</v>
      </c>
      <c r="H103" s="2"/>
      <c r="J103" s="2">
        <f>I112*G$34*0.15</f>
        <v>-10.26</v>
      </c>
      <c r="K103" s="2">
        <f t="shared" si="9"/>
        <v>0</v>
      </c>
      <c r="L103" s="2">
        <f t="shared" si="5"/>
        <v>10.26</v>
      </c>
    </row>
    <row r="104" spans="1:12" ht="18.75">
      <c r="A104" s="8" t="s">
        <v>73</v>
      </c>
      <c r="B104" s="21">
        <v>40</v>
      </c>
      <c r="C104" s="22">
        <f t="shared" si="6"/>
        <v>0</v>
      </c>
      <c r="D104" s="22">
        <f t="shared" si="7"/>
        <v>0</v>
      </c>
      <c r="E104" s="22">
        <f t="shared" si="8"/>
        <v>0</v>
      </c>
      <c r="F104" s="22">
        <v>0</v>
      </c>
      <c r="G104" s="22">
        <f>IF(B104&gt;G$24*G$27+G$33,0,(SUM(D$65:D103)*((1+G$22/G$23)^((B104-G$33)/(12/G$23))-1))-SUM(G$64:G103))</f>
        <v>0</v>
      </c>
      <c r="H104" s="2"/>
      <c r="K104" s="2">
        <f t="shared" si="9"/>
        <v>0</v>
      </c>
      <c r="L104" s="2">
        <f t="shared" si="5"/>
        <v>0</v>
      </c>
    </row>
    <row r="105" spans="1:12" ht="18.75">
      <c r="A105" s="8" t="s">
        <v>53</v>
      </c>
      <c r="B105" s="21">
        <v>41</v>
      </c>
      <c r="C105" s="22">
        <f t="shared" si="6"/>
        <v>0</v>
      </c>
      <c r="D105" s="22">
        <f t="shared" si="7"/>
        <v>0</v>
      </c>
      <c r="E105" s="22">
        <f t="shared" si="8"/>
        <v>0</v>
      </c>
      <c r="F105" s="22">
        <v>0</v>
      </c>
      <c r="G105" s="22">
        <f>IF(B105&gt;G$24*G$27+G$33,0,(SUM(D$65:D104)*((1+G$22/G$23)^((B105-G$33)/(12/G$23))-1))-SUM(G$64:G104))</f>
        <v>0</v>
      </c>
      <c r="H105" s="2"/>
      <c r="K105" s="2">
        <f t="shared" si="9"/>
        <v>0</v>
      </c>
      <c r="L105" s="2">
        <f t="shared" si="5"/>
        <v>0</v>
      </c>
    </row>
    <row r="106" spans="1:12" ht="18.75">
      <c r="A106" s="8" t="s">
        <v>54</v>
      </c>
      <c r="B106" s="21">
        <v>42</v>
      </c>
      <c r="C106" s="22">
        <f t="shared" si="6"/>
        <v>0</v>
      </c>
      <c r="D106" s="22">
        <f t="shared" si="7"/>
        <v>0</v>
      </c>
      <c r="E106" s="22">
        <f t="shared" si="8"/>
        <v>0</v>
      </c>
      <c r="F106" s="22">
        <v>0</v>
      </c>
      <c r="G106" s="22">
        <f>IF(B106&gt;G$24*G$27+G$33,0,(SUM(D$65:D105)*((1+G$22/G$23)^((B106-G$33)/(12/G$23))-1))-SUM(G$64:G105))</f>
        <v>0</v>
      </c>
      <c r="H106" s="2"/>
      <c r="J106" s="2">
        <f>I112*$G$34*0.3</f>
        <v>-20.52</v>
      </c>
      <c r="K106" s="2">
        <f t="shared" si="9"/>
        <v>0</v>
      </c>
      <c r="L106" s="2">
        <f aca="true" t="shared" si="10" ref="L106:L137">C106+E106-J106+D106</f>
        <v>20.52</v>
      </c>
    </row>
    <row r="107" spans="1:12" ht="18.75">
      <c r="A107" s="8" t="s">
        <v>74</v>
      </c>
      <c r="B107" s="21">
        <v>43</v>
      </c>
      <c r="C107" s="22">
        <f t="shared" si="6"/>
        <v>0</v>
      </c>
      <c r="D107" s="22">
        <f t="shared" si="7"/>
        <v>0</v>
      </c>
      <c r="E107" s="22">
        <f t="shared" si="8"/>
        <v>0</v>
      </c>
      <c r="F107" s="22">
        <v>0</v>
      </c>
      <c r="G107" s="22">
        <f>IF(B107&gt;G$24*G$27+G$33,0,(SUM(D$65:D106)*((1+G$22/G$23)^((B107-G$33)/(12/G$23))-1))-SUM(G$64:G106))</f>
        <v>0</v>
      </c>
      <c r="H107" s="2"/>
      <c r="K107" s="2">
        <f t="shared" si="9"/>
        <v>0</v>
      </c>
      <c r="L107" s="2">
        <f t="shared" si="10"/>
        <v>0</v>
      </c>
    </row>
    <row r="108" spans="1:12" ht="18.75">
      <c r="A108" s="8" t="s">
        <v>75</v>
      </c>
      <c r="B108" s="21">
        <v>44</v>
      </c>
      <c r="C108" s="22">
        <f t="shared" si="6"/>
        <v>0</v>
      </c>
      <c r="D108" s="22">
        <f t="shared" si="7"/>
        <v>0</v>
      </c>
      <c r="E108" s="22">
        <f t="shared" si="8"/>
        <v>0</v>
      </c>
      <c r="F108" s="22">
        <v>0</v>
      </c>
      <c r="G108" s="22">
        <f>IF(B108&gt;G$24*G$27+G$33,0,(SUM(D$65:D107)*((1+G$22/G$23)^((B108-G$33)/(12/G$23))-1))-SUM(G$64:G107))</f>
        <v>0</v>
      </c>
      <c r="H108" s="2"/>
      <c r="K108" s="2">
        <f t="shared" si="9"/>
        <v>0</v>
      </c>
      <c r="L108" s="2">
        <f t="shared" si="10"/>
        <v>0</v>
      </c>
    </row>
    <row r="109" spans="1:12" ht="18.75">
      <c r="A109" s="8" t="s">
        <v>55</v>
      </c>
      <c r="B109" s="21">
        <v>45</v>
      </c>
      <c r="C109" s="22">
        <f aca="true" t="shared" si="11" ref="C109:C140">IF(B109=(G$24)*G$27+G$33,G$19*G$29,0)</f>
        <v>0</v>
      </c>
      <c r="D109" s="22">
        <f aca="true" t="shared" si="12" ref="D109:D140">IF(B109=($G$24)*G$27+G$33,-G$19*G$21*((1+G$22/G$23)^(G$24*G$23)),0)</f>
        <v>0</v>
      </c>
      <c r="E109" s="22">
        <f aca="true" t="shared" si="13" ref="E109:E140">IF(B109&lt;$G$33,0,IF(B109&lt;=G$24*G$27+$G$33-1,+(G$17*12/G$27),0))</f>
        <v>0</v>
      </c>
      <c r="F109" s="22">
        <v>0</v>
      </c>
      <c r="G109" s="22">
        <f>IF(B109&gt;G$24*G$27+G$33,0,(SUM(D$65:D108)*((1+G$22/G$23)^((B109-G$33)/(12/G$23))-1))-SUM(G$64:G108))</f>
        <v>0</v>
      </c>
      <c r="H109" s="2"/>
      <c r="J109" s="2">
        <f>I112*$G$34*0.3</f>
        <v>-20.52</v>
      </c>
      <c r="K109" s="2">
        <f t="shared" si="9"/>
        <v>0</v>
      </c>
      <c r="L109" s="2">
        <f t="shared" si="10"/>
        <v>20.52</v>
      </c>
    </row>
    <row r="110" spans="1:12" ht="18.75">
      <c r="A110" s="8" t="s">
        <v>49</v>
      </c>
      <c r="B110" s="21">
        <v>46</v>
      </c>
      <c r="C110" s="22">
        <f t="shared" si="11"/>
        <v>0</v>
      </c>
      <c r="D110" s="22">
        <f t="shared" si="12"/>
        <v>0</v>
      </c>
      <c r="E110" s="22">
        <f t="shared" si="13"/>
        <v>0</v>
      </c>
      <c r="F110" s="22">
        <v>0</v>
      </c>
      <c r="G110" s="22">
        <f>IF(B110&gt;G$24*G$27+G$33,0,(SUM(D$65:D109)*((1+G$22/G$23)^((B110-G$33)/(12/G$23))-1))-SUM(G$64:G109))</f>
        <v>0</v>
      </c>
      <c r="H110" s="2"/>
      <c r="K110" s="2">
        <f t="shared" si="9"/>
        <v>0</v>
      </c>
      <c r="L110" s="2">
        <f t="shared" si="10"/>
        <v>0</v>
      </c>
    </row>
    <row r="111" spans="1:12" ht="18.75">
      <c r="A111" s="8" t="s">
        <v>76</v>
      </c>
      <c r="B111" s="21">
        <v>47</v>
      </c>
      <c r="C111" s="22">
        <f t="shared" si="11"/>
        <v>0</v>
      </c>
      <c r="D111" s="22">
        <f t="shared" si="12"/>
        <v>0</v>
      </c>
      <c r="E111" s="22">
        <f t="shared" si="13"/>
        <v>0</v>
      </c>
      <c r="F111" s="22">
        <v>0</v>
      </c>
      <c r="G111" s="22">
        <f>IF(B111&gt;G$24*G$27+G$33,0,(SUM(D$65:D110)*((1+G$22/G$23)^((B111-G$33)/(12/G$23))-1))-SUM(G$64:G110))</f>
        <v>0</v>
      </c>
      <c r="H111" s="2"/>
      <c r="K111" s="2">
        <f t="shared" si="9"/>
        <v>0</v>
      </c>
      <c r="L111" s="2">
        <f t="shared" si="10"/>
        <v>0</v>
      </c>
    </row>
    <row r="112" spans="1:12" ht="18.75">
      <c r="A112" s="8" t="s">
        <v>50</v>
      </c>
      <c r="B112" s="21">
        <v>48</v>
      </c>
      <c r="C112" s="22">
        <f t="shared" si="11"/>
        <v>0</v>
      </c>
      <c r="D112" s="22">
        <f t="shared" si="12"/>
        <v>0</v>
      </c>
      <c r="E112" s="22">
        <f t="shared" si="13"/>
        <v>0</v>
      </c>
      <c r="F112" s="23">
        <f>IF(B112&lt;(G$24+G$25)*G$27+G$33,($G$19-SUM(F$62:F111)-SUM(C$77:C112))*$G$31,G$19-SUM(F$62:F111)-SUM(C$77:C112)*1)</f>
        <v>152</v>
      </c>
      <c r="G112" s="22">
        <f>IF(B112&gt;G$24*G$27+G$33,0,(SUM(D$65:D111)*((1+G$22/G$23)^((B112-G$33)/(12/G$23))-1))-SUM(G$64:G111))</f>
        <v>0</v>
      </c>
      <c r="H112" s="2"/>
      <c r="I112" s="2">
        <f>SUM(E101:E112)-F112-SUM(G101:G112)</f>
        <v>-152</v>
      </c>
      <c r="J112" s="2">
        <f>I112*$G$34*0.25</f>
        <v>-17.1</v>
      </c>
      <c r="K112" s="2">
        <f t="shared" si="9"/>
        <v>0</v>
      </c>
      <c r="L112" s="2">
        <f t="shared" si="10"/>
        <v>17.1</v>
      </c>
    </row>
    <row r="113" spans="1:12" ht="18.75">
      <c r="A113" s="8" t="s">
        <v>51</v>
      </c>
      <c r="B113" s="21">
        <v>49</v>
      </c>
      <c r="C113" s="22">
        <f t="shared" si="11"/>
        <v>0</v>
      </c>
      <c r="D113" s="22">
        <f t="shared" si="12"/>
        <v>0</v>
      </c>
      <c r="E113" s="22">
        <f t="shared" si="13"/>
        <v>0</v>
      </c>
      <c r="F113" s="22">
        <v>0</v>
      </c>
      <c r="G113" s="22">
        <f>IF(B113&gt;G$24*G$27+G$33,0,(SUM(D$65:D112)*((1+G$22/G$23)^((B113-G$33)/(12/G$23))-1))-SUM(G$64:G112))</f>
        <v>0</v>
      </c>
      <c r="H113" s="2"/>
      <c r="K113" s="2">
        <f t="shared" si="9"/>
        <v>0</v>
      </c>
      <c r="L113" s="2">
        <f t="shared" si="10"/>
        <v>0</v>
      </c>
    </row>
    <row r="114" spans="1:12" ht="18.75">
      <c r="A114" s="8" t="s">
        <v>72</v>
      </c>
      <c r="B114" s="21">
        <v>50</v>
      </c>
      <c r="C114" s="22">
        <f t="shared" si="11"/>
        <v>0</v>
      </c>
      <c r="D114" s="22">
        <f t="shared" si="12"/>
        <v>0</v>
      </c>
      <c r="E114" s="22">
        <f t="shared" si="13"/>
        <v>0</v>
      </c>
      <c r="F114" s="22">
        <v>0</v>
      </c>
      <c r="G114" s="22">
        <f>IF(B114&gt;G$24*G$27+G$33,0,(SUM(D$65:D113)*((1+G$22/G$23)^((B114-G$33)/(12/G$23))-1))-SUM(G$64:G113))</f>
        <v>0</v>
      </c>
      <c r="H114" s="2"/>
      <c r="K114" s="2">
        <f t="shared" si="9"/>
        <v>0</v>
      </c>
      <c r="L114" s="2">
        <f t="shared" si="10"/>
        <v>0</v>
      </c>
    </row>
    <row r="115" spans="1:12" ht="18.75">
      <c r="A115" s="8" t="s">
        <v>52</v>
      </c>
      <c r="B115" s="21">
        <v>51</v>
      </c>
      <c r="C115" s="22">
        <f t="shared" si="11"/>
        <v>0</v>
      </c>
      <c r="D115" s="22">
        <f t="shared" si="12"/>
        <v>0</v>
      </c>
      <c r="E115" s="22">
        <f t="shared" si="13"/>
        <v>0</v>
      </c>
      <c r="F115" s="22">
        <v>0</v>
      </c>
      <c r="G115" s="22">
        <f>IF(B115&gt;G$24*G$27+G$33,0,(SUM(D$65:D114)*((1+G$22/G$23)^((B115-G$33)/(12/G$23))-1))-SUM(G$64:G114))</f>
        <v>0</v>
      </c>
      <c r="H115" s="2"/>
      <c r="J115" s="2">
        <f>I124*G$34*0.15</f>
        <v>0</v>
      </c>
      <c r="K115" s="2">
        <f t="shared" si="9"/>
        <v>0</v>
      </c>
      <c r="L115" s="2">
        <f t="shared" si="10"/>
        <v>0</v>
      </c>
    </row>
    <row r="116" spans="1:12" ht="18.75">
      <c r="A116" s="8" t="s">
        <v>73</v>
      </c>
      <c r="B116" s="21">
        <v>52</v>
      </c>
      <c r="C116" s="22">
        <f t="shared" si="11"/>
        <v>0</v>
      </c>
      <c r="D116" s="22">
        <f t="shared" si="12"/>
        <v>0</v>
      </c>
      <c r="E116" s="22">
        <f t="shared" si="13"/>
        <v>0</v>
      </c>
      <c r="F116" s="22">
        <v>0</v>
      </c>
      <c r="G116" s="22">
        <f>IF(B116&gt;G$24*G$27+G$33,0,(SUM(D$65:D115)*((1+G$22/G$23)^((B116-G$33)/(12/G$23))-1))-SUM(G$64:G115))</f>
        <v>0</v>
      </c>
      <c r="H116" s="2"/>
      <c r="K116" s="2">
        <f t="shared" si="9"/>
        <v>0</v>
      </c>
      <c r="L116" s="2">
        <f t="shared" si="10"/>
        <v>0</v>
      </c>
    </row>
    <row r="117" spans="1:12" ht="18.75">
      <c r="A117" s="8" t="s">
        <v>53</v>
      </c>
      <c r="B117" s="21">
        <v>53</v>
      </c>
      <c r="C117" s="22">
        <f t="shared" si="11"/>
        <v>0</v>
      </c>
      <c r="D117" s="22">
        <f t="shared" si="12"/>
        <v>0</v>
      </c>
      <c r="E117" s="22">
        <f t="shared" si="13"/>
        <v>0</v>
      </c>
      <c r="F117" s="22">
        <v>0</v>
      </c>
      <c r="G117" s="22">
        <f>IF(B117&gt;G$24*G$27+G$33,0,(SUM(D$65:D116)*((1+G$22/G$23)^((B117-G$33)/(12/G$23))-1))-SUM(G$64:G116))</f>
        <v>0</v>
      </c>
      <c r="H117" s="2"/>
      <c r="K117" s="2">
        <f t="shared" si="9"/>
        <v>0</v>
      </c>
      <c r="L117" s="2">
        <f t="shared" si="10"/>
        <v>0</v>
      </c>
    </row>
    <row r="118" spans="1:12" ht="18.75">
      <c r="A118" s="8" t="s">
        <v>54</v>
      </c>
      <c r="B118" s="21">
        <v>54</v>
      </c>
      <c r="C118" s="22">
        <f t="shared" si="11"/>
        <v>0</v>
      </c>
      <c r="D118" s="22">
        <f t="shared" si="12"/>
        <v>0</v>
      </c>
      <c r="E118" s="22">
        <f t="shared" si="13"/>
        <v>0</v>
      </c>
      <c r="F118" s="22">
        <v>0</v>
      </c>
      <c r="G118" s="22">
        <f>IF(B118&gt;G$24*G$27+G$33,0,(SUM(D$65:D117)*((1+G$22/G$23)^((B118-G$33)/(12/G$23))-1))-SUM(G$64:G117))</f>
        <v>0</v>
      </c>
      <c r="H118" s="2"/>
      <c r="J118" s="2">
        <f>I124*$G$34*0.3</f>
        <v>0</v>
      </c>
      <c r="K118" s="2">
        <f t="shared" si="9"/>
        <v>0</v>
      </c>
      <c r="L118" s="2">
        <f t="shared" si="10"/>
        <v>0</v>
      </c>
    </row>
    <row r="119" spans="1:12" ht="18.75">
      <c r="A119" s="8" t="s">
        <v>74</v>
      </c>
      <c r="B119" s="21">
        <v>55</v>
      </c>
      <c r="C119" s="22">
        <f t="shared" si="11"/>
        <v>0</v>
      </c>
      <c r="D119" s="22">
        <f t="shared" si="12"/>
        <v>0</v>
      </c>
      <c r="E119" s="22">
        <f t="shared" si="13"/>
        <v>0</v>
      </c>
      <c r="F119" s="22">
        <v>0</v>
      </c>
      <c r="G119" s="22">
        <f>IF(B119&gt;G$24*G$27+G$33,0,(SUM(D$65:D118)*((1+G$22/G$23)^((B119-G$33)/(12/G$23))-1))-SUM(G$64:G118))</f>
        <v>0</v>
      </c>
      <c r="H119" s="2"/>
      <c r="K119" s="2">
        <f t="shared" si="9"/>
        <v>0</v>
      </c>
      <c r="L119" s="2">
        <f t="shared" si="10"/>
        <v>0</v>
      </c>
    </row>
    <row r="120" spans="1:12" ht="18.75">
      <c r="A120" s="8" t="s">
        <v>75</v>
      </c>
      <c r="B120" s="21">
        <v>56</v>
      </c>
      <c r="C120" s="22">
        <f t="shared" si="11"/>
        <v>0</v>
      </c>
      <c r="D120" s="22">
        <f t="shared" si="12"/>
        <v>0</v>
      </c>
      <c r="E120" s="22">
        <f t="shared" si="13"/>
        <v>0</v>
      </c>
      <c r="F120" s="22">
        <v>0</v>
      </c>
      <c r="G120" s="22">
        <f>IF(B120&gt;G$24*G$27+G$33,0,(SUM(D$65:D119)*((1+G$22/G$23)^((B120-G$33)/(12/G$23))-1))-SUM(G$64:G119))</f>
        <v>0</v>
      </c>
      <c r="H120" s="2"/>
      <c r="K120" s="2">
        <f t="shared" si="9"/>
        <v>0</v>
      </c>
      <c r="L120" s="2">
        <f t="shared" si="10"/>
        <v>0</v>
      </c>
    </row>
    <row r="121" spans="1:12" ht="18.75">
      <c r="A121" s="8" t="s">
        <v>55</v>
      </c>
      <c r="B121" s="21">
        <v>57</v>
      </c>
      <c r="C121" s="22">
        <f t="shared" si="11"/>
        <v>0</v>
      </c>
      <c r="D121" s="22">
        <f t="shared" si="12"/>
        <v>0</v>
      </c>
      <c r="E121" s="22">
        <f t="shared" si="13"/>
        <v>0</v>
      </c>
      <c r="F121" s="22">
        <v>0</v>
      </c>
      <c r="G121" s="22">
        <f>IF(B121&gt;G$24*G$27+G$33,0,(SUM(D$65:D120)*((1+G$22/G$23)^((B121-G$33)/(12/G$23))-1))-SUM(G$64:G120))</f>
        <v>0</v>
      </c>
      <c r="H121" s="2"/>
      <c r="J121" s="2">
        <f>I124*$G$34*0.3</f>
        <v>0</v>
      </c>
      <c r="K121" s="2">
        <f t="shared" si="9"/>
        <v>0</v>
      </c>
      <c r="L121" s="2">
        <f t="shared" si="10"/>
        <v>0</v>
      </c>
    </row>
    <row r="122" spans="1:12" ht="18.75">
      <c r="A122" s="8" t="s">
        <v>49</v>
      </c>
      <c r="B122" s="21">
        <v>58</v>
      </c>
      <c r="C122" s="22">
        <f t="shared" si="11"/>
        <v>0</v>
      </c>
      <c r="D122" s="22">
        <f t="shared" si="12"/>
        <v>0</v>
      </c>
      <c r="E122" s="22">
        <f t="shared" si="13"/>
        <v>0</v>
      </c>
      <c r="F122" s="22">
        <v>0</v>
      </c>
      <c r="G122" s="22">
        <f>IF(B122&gt;G$24*G$27+G$33,0,(SUM(D$65:D121)*((1+G$22/G$23)^((B122-G$33)/(12/G$23))-1))-SUM(G$64:G121))</f>
        <v>0</v>
      </c>
      <c r="H122" s="2"/>
      <c r="K122" s="2">
        <f t="shared" si="9"/>
        <v>0</v>
      </c>
      <c r="L122" s="2">
        <f t="shared" si="10"/>
        <v>0</v>
      </c>
    </row>
    <row r="123" spans="1:12" ht="18.75">
      <c r="A123" s="8" t="s">
        <v>76</v>
      </c>
      <c r="B123" s="21">
        <v>59</v>
      </c>
      <c r="C123" s="22">
        <f t="shared" si="11"/>
        <v>0</v>
      </c>
      <c r="D123" s="22">
        <f t="shared" si="12"/>
        <v>0</v>
      </c>
      <c r="E123" s="22">
        <f t="shared" si="13"/>
        <v>0</v>
      </c>
      <c r="F123" s="22">
        <v>0</v>
      </c>
      <c r="G123" s="22">
        <f>IF(B123&gt;G$24*G$27+G$33,0,(SUM(D$65:D122)*((1+G$22/G$23)^((B123-G$33)/(12/G$23))-1))-SUM(G$64:G122))</f>
        <v>0</v>
      </c>
      <c r="H123" s="2"/>
      <c r="K123" s="2">
        <f t="shared" si="9"/>
        <v>0</v>
      </c>
      <c r="L123" s="2">
        <f t="shared" si="10"/>
        <v>0</v>
      </c>
    </row>
    <row r="124" spans="1:12" ht="18.75">
      <c r="A124" s="8" t="s">
        <v>50</v>
      </c>
      <c r="B124" s="21">
        <v>60</v>
      </c>
      <c r="C124" s="22">
        <f t="shared" si="11"/>
        <v>0</v>
      </c>
      <c r="D124" s="22">
        <f t="shared" si="12"/>
        <v>0</v>
      </c>
      <c r="E124" s="22">
        <f t="shared" si="13"/>
        <v>0</v>
      </c>
      <c r="F124" s="23">
        <f>IF(B124&lt;(G$24+G$25)*G$27+G$33,($G$19-SUM(F$62:F123)-SUM(C$77:C124))*$G$31,G$19-SUM(F$62:F123)-SUM(C$77:C124)*1)</f>
        <v>0</v>
      </c>
      <c r="G124" s="22">
        <f>IF(B124&gt;G$24*G$27+G$33,0,(SUM(D$65:D123)*((1+G$22/G$23)^((B124-G$33)/(12/G$23))-1))-SUM(G$64:G123))</f>
        <v>0</v>
      </c>
      <c r="H124" s="2"/>
      <c r="I124" s="2">
        <f>SUM(E113:E124)-F124-SUM(G113:G124)</f>
        <v>0</v>
      </c>
      <c r="J124" s="2">
        <f>I124*$G$34*0.25</f>
        <v>0</v>
      </c>
      <c r="K124" s="2">
        <f t="shared" si="9"/>
        <v>0</v>
      </c>
      <c r="L124" s="2">
        <f t="shared" si="10"/>
        <v>0</v>
      </c>
    </row>
    <row r="125" spans="1:12" ht="18.75">
      <c r="A125" s="8" t="s">
        <v>51</v>
      </c>
      <c r="B125" s="21">
        <v>61</v>
      </c>
      <c r="C125" s="22">
        <f t="shared" si="11"/>
        <v>0</v>
      </c>
      <c r="D125" s="22">
        <f t="shared" si="12"/>
        <v>0</v>
      </c>
      <c r="E125" s="22">
        <f t="shared" si="13"/>
        <v>0</v>
      </c>
      <c r="F125" s="22">
        <v>0</v>
      </c>
      <c r="G125" s="22">
        <f>IF(B125&gt;G$24*G$27+G$33,0,(SUM(D$65:D124)*((1+G$22/G$23)^((B125-G$33)/(12/G$23))-1))-SUM(G$64:G124))</f>
        <v>0</v>
      </c>
      <c r="H125" s="2"/>
      <c r="K125" s="2">
        <f t="shared" si="9"/>
        <v>0</v>
      </c>
      <c r="L125" s="2">
        <f t="shared" si="10"/>
        <v>0</v>
      </c>
    </row>
    <row r="126" spans="1:13" ht="18.75">
      <c r="A126" s="8" t="s">
        <v>72</v>
      </c>
      <c r="B126" s="21">
        <v>62</v>
      </c>
      <c r="C126" s="22">
        <f t="shared" si="11"/>
        <v>0</v>
      </c>
      <c r="D126" s="22">
        <f t="shared" si="12"/>
        <v>0</v>
      </c>
      <c r="E126" s="22">
        <f t="shared" si="13"/>
        <v>0</v>
      </c>
      <c r="F126" s="22">
        <v>0</v>
      </c>
      <c r="G126" s="22">
        <f>IF(B126&gt;G$24*G$27+G$33,0,(SUM(D$65:D125)*((1+G$22/G$23)^((B126-G$33)/(12/G$23))-1))-SUM(G$64:G125))</f>
        <v>0</v>
      </c>
      <c r="H126" s="2"/>
      <c r="K126" s="2">
        <f t="shared" si="9"/>
        <v>0</v>
      </c>
      <c r="L126" s="2">
        <f t="shared" si="10"/>
        <v>0</v>
      </c>
      <c r="M126" s="6"/>
    </row>
    <row r="127" spans="1:12" ht="18.75">
      <c r="A127" s="8" t="s">
        <v>52</v>
      </c>
      <c r="B127" s="21">
        <v>63</v>
      </c>
      <c r="C127" s="22">
        <f t="shared" si="11"/>
        <v>0</v>
      </c>
      <c r="D127" s="22">
        <f t="shared" si="12"/>
        <v>0</v>
      </c>
      <c r="E127" s="22">
        <f t="shared" si="13"/>
        <v>0</v>
      </c>
      <c r="F127" s="22">
        <v>0</v>
      </c>
      <c r="G127" s="22">
        <f>IF(B127&gt;G$24*G$27+G$33,0,(SUM(D$65:D126)*((1+G$22/G$23)^((B127-G$33)/(12/G$23))-1))-SUM(G$64:G126))</f>
        <v>0</v>
      </c>
      <c r="H127" s="2"/>
      <c r="J127" s="2">
        <f>I136*G$34*0.15</f>
        <v>0</v>
      </c>
      <c r="K127" s="2">
        <f t="shared" si="9"/>
        <v>0</v>
      </c>
      <c r="L127" s="2">
        <f t="shared" si="10"/>
        <v>0</v>
      </c>
    </row>
    <row r="128" spans="1:12" ht="18.75">
      <c r="A128" s="8" t="s">
        <v>73</v>
      </c>
      <c r="B128" s="21">
        <v>64</v>
      </c>
      <c r="C128" s="22">
        <f t="shared" si="11"/>
        <v>0</v>
      </c>
      <c r="D128" s="22">
        <f t="shared" si="12"/>
        <v>0</v>
      </c>
      <c r="E128" s="22">
        <f t="shared" si="13"/>
        <v>0</v>
      </c>
      <c r="F128" s="22">
        <v>0</v>
      </c>
      <c r="G128" s="22">
        <f>IF(B128&gt;G$24*G$27+G$33,0,(SUM(D$65:D127)*((1+G$22/G$23)^((B128-G$33)/(12/G$23))-1))-SUM(G$64:G127))</f>
        <v>0</v>
      </c>
      <c r="H128" s="2"/>
      <c r="K128" s="2">
        <f t="shared" si="9"/>
        <v>0</v>
      </c>
      <c r="L128" s="2">
        <f t="shared" si="10"/>
        <v>0</v>
      </c>
    </row>
    <row r="129" spans="1:12" ht="18.75">
      <c r="A129" s="8" t="s">
        <v>53</v>
      </c>
      <c r="B129" s="21">
        <v>65</v>
      </c>
      <c r="C129" s="22">
        <f t="shared" si="11"/>
        <v>0</v>
      </c>
      <c r="D129" s="22">
        <f t="shared" si="12"/>
        <v>0</v>
      </c>
      <c r="E129" s="22">
        <f t="shared" si="13"/>
        <v>0</v>
      </c>
      <c r="F129" s="22">
        <v>0</v>
      </c>
      <c r="G129" s="22">
        <f>IF(B129&gt;G$24*G$27+G$33,0,(SUM(D$65:D128)*((1+G$22/G$23)^((B129-G$33)/(12/G$23))-1))-SUM(G$64:G128))</f>
        <v>0</v>
      </c>
      <c r="H129" s="2"/>
      <c r="K129" s="2">
        <f aca="true" t="shared" si="14" ref="K129:K160">C129+D129+E129</f>
        <v>0</v>
      </c>
      <c r="L129" s="2">
        <f t="shared" si="10"/>
        <v>0</v>
      </c>
    </row>
    <row r="130" spans="1:12" ht="18.75">
      <c r="A130" s="8" t="s">
        <v>54</v>
      </c>
      <c r="B130" s="21">
        <v>66</v>
      </c>
      <c r="C130" s="22">
        <f t="shared" si="11"/>
        <v>0</v>
      </c>
      <c r="D130" s="22">
        <f t="shared" si="12"/>
        <v>0</v>
      </c>
      <c r="E130" s="22">
        <f t="shared" si="13"/>
        <v>0</v>
      </c>
      <c r="F130" s="22">
        <v>0</v>
      </c>
      <c r="G130" s="22">
        <f>IF(B130&gt;G$24*G$27+G$33,0,(SUM(D$65:D129)*((1+G$22/G$23)^((B130-G$33)/(12/G$23))-1))-SUM(G$64:G129))</f>
        <v>0</v>
      </c>
      <c r="H130" s="2"/>
      <c r="J130" s="2">
        <f>I136*$G$34*0.3</f>
        <v>0</v>
      </c>
      <c r="K130" s="2">
        <f t="shared" si="14"/>
        <v>0</v>
      </c>
      <c r="L130" s="2">
        <f t="shared" si="10"/>
        <v>0</v>
      </c>
    </row>
    <row r="131" spans="1:12" ht="18.75">
      <c r="A131" s="8" t="s">
        <v>74</v>
      </c>
      <c r="B131" s="21">
        <v>67</v>
      </c>
      <c r="C131" s="22">
        <f t="shared" si="11"/>
        <v>0</v>
      </c>
      <c r="D131" s="22">
        <f t="shared" si="12"/>
        <v>0</v>
      </c>
      <c r="E131" s="22">
        <f t="shared" si="13"/>
        <v>0</v>
      </c>
      <c r="F131" s="22">
        <v>0</v>
      </c>
      <c r="G131" s="22">
        <f>IF(B131&gt;G$24*G$27+G$33,0,(SUM(D$65:D130)*((1+G$22/G$23)^((B131-G$33)/(12/G$23))-1))-SUM(G$64:G130))</f>
        <v>0</v>
      </c>
      <c r="H131" s="2"/>
      <c r="K131" s="2">
        <f t="shared" si="14"/>
        <v>0</v>
      </c>
      <c r="L131" s="2">
        <f t="shared" si="10"/>
        <v>0</v>
      </c>
    </row>
    <row r="132" spans="1:12" ht="18.75">
      <c r="A132" s="8" t="s">
        <v>75</v>
      </c>
      <c r="B132" s="21">
        <v>68</v>
      </c>
      <c r="C132" s="22">
        <f t="shared" si="11"/>
        <v>0</v>
      </c>
      <c r="D132" s="22">
        <f t="shared" si="12"/>
        <v>0</v>
      </c>
      <c r="E132" s="22">
        <f t="shared" si="13"/>
        <v>0</v>
      </c>
      <c r="F132" s="22">
        <v>0</v>
      </c>
      <c r="G132" s="22">
        <f>IF(B132&gt;G$24*G$27+G$33,0,(SUM(D$65:D131)*((1+G$22/G$23)^((B132-G$33)/(12/G$23))-1))-SUM(G$64:G131))</f>
        <v>0</v>
      </c>
      <c r="H132" s="2"/>
      <c r="K132" s="2">
        <f t="shared" si="14"/>
        <v>0</v>
      </c>
      <c r="L132" s="2">
        <f t="shared" si="10"/>
        <v>0</v>
      </c>
    </row>
    <row r="133" spans="1:12" ht="18.75">
      <c r="A133" s="8" t="s">
        <v>55</v>
      </c>
      <c r="B133" s="21">
        <v>69</v>
      </c>
      <c r="C133" s="22">
        <f t="shared" si="11"/>
        <v>0</v>
      </c>
      <c r="D133" s="22">
        <f t="shared" si="12"/>
        <v>0</v>
      </c>
      <c r="E133" s="22">
        <f t="shared" si="13"/>
        <v>0</v>
      </c>
      <c r="F133" s="22">
        <v>0</v>
      </c>
      <c r="G133" s="22">
        <f>IF(B133&gt;G$24*G$27+G$33,0,(SUM(D$65:D132)*((1+G$22/G$23)^((B133-G$33)/(12/G$23))-1))-SUM(G$64:G132))</f>
        <v>0</v>
      </c>
      <c r="H133" s="2"/>
      <c r="J133" s="2">
        <f>I136*$G$34*0.3</f>
        <v>0</v>
      </c>
      <c r="K133" s="2">
        <f t="shared" si="14"/>
        <v>0</v>
      </c>
      <c r="L133" s="2">
        <f t="shared" si="10"/>
        <v>0</v>
      </c>
    </row>
    <row r="134" spans="1:12" ht="18.75">
      <c r="A134" s="8" t="s">
        <v>49</v>
      </c>
      <c r="B134" s="21">
        <v>70</v>
      </c>
      <c r="C134" s="22">
        <f t="shared" si="11"/>
        <v>0</v>
      </c>
      <c r="D134" s="22">
        <f t="shared" si="12"/>
        <v>0</v>
      </c>
      <c r="E134" s="22">
        <f t="shared" si="13"/>
        <v>0</v>
      </c>
      <c r="F134" s="22">
        <v>0</v>
      </c>
      <c r="G134" s="22">
        <f>IF(B134&gt;G$24*G$27+G$33,0,(SUM(D$65:D133)*((1+G$22/G$23)^((B134-G$33)/(12/G$23))-1))-SUM(G$64:G133))</f>
        <v>0</v>
      </c>
      <c r="H134" s="2"/>
      <c r="K134" s="2">
        <f t="shared" si="14"/>
        <v>0</v>
      </c>
      <c r="L134" s="2">
        <f t="shared" si="10"/>
        <v>0</v>
      </c>
    </row>
    <row r="135" spans="1:12" ht="18.75">
      <c r="A135" s="8" t="s">
        <v>76</v>
      </c>
      <c r="B135" s="21">
        <v>71</v>
      </c>
      <c r="C135" s="22">
        <f t="shared" si="11"/>
        <v>0</v>
      </c>
      <c r="D135" s="22">
        <f t="shared" si="12"/>
        <v>0</v>
      </c>
      <c r="E135" s="22">
        <f t="shared" si="13"/>
        <v>0</v>
      </c>
      <c r="F135" s="22">
        <v>0</v>
      </c>
      <c r="G135" s="22">
        <f>IF(B135&gt;G$24*G$27+G$33,0,(SUM(D$65:D134)*((1+G$22/G$23)^((B135-G$33)/(12/G$23))-1))-SUM(G$64:G134))</f>
        <v>0</v>
      </c>
      <c r="H135" s="2"/>
      <c r="K135" s="2">
        <f t="shared" si="14"/>
        <v>0</v>
      </c>
      <c r="L135" s="2">
        <f t="shared" si="10"/>
        <v>0</v>
      </c>
    </row>
    <row r="136" spans="1:12" ht="18.75">
      <c r="A136" s="8" t="s">
        <v>50</v>
      </c>
      <c r="B136" s="21">
        <v>72</v>
      </c>
      <c r="C136" s="22">
        <f t="shared" si="11"/>
        <v>0</v>
      </c>
      <c r="D136" s="22">
        <f t="shared" si="12"/>
        <v>0</v>
      </c>
      <c r="E136" s="22">
        <f t="shared" si="13"/>
        <v>0</v>
      </c>
      <c r="F136" s="23">
        <f>IF(B136&lt;(G$24+G$25)*G$27+G$33,($G$19-SUM(F$62:F135)-SUM(C$77:C136))*$G$31,G$19-SUM(F$62:F135)-SUM(C$77:C136)*1)</f>
        <v>0</v>
      </c>
      <c r="G136" s="22">
        <f>IF(B136&gt;G$24*G$27+G$33,0,(SUM(D$65:D135)*((1+G$22/G$23)^((B136-G$33)/(12/G$23))-1))-SUM(G$64:G135))</f>
        <v>0</v>
      </c>
      <c r="H136" s="2"/>
      <c r="I136" s="2">
        <f>SUM(E125:E136)-F136-SUM(G125:G136)</f>
        <v>0</v>
      </c>
      <c r="J136" s="2">
        <f>I136*$G$34*0.25</f>
        <v>0</v>
      </c>
      <c r="K136" s="2">
        <f t="shared" si="14"/>
        <v>0</v>
      </c>
      <c r="L136" s="2">
        <f t="shared" si="10"/>
        <v>0</v>
      </c>
    </row>
    <row r="137" spans="1:12" ht="18.75">
      <c r="A137" s="8" t="s">
        <v>51</v>
      </c>
      <c r="B137" s="21">
        <v>73</v>
      </c>
      <c r="C137" s="22">
        <f t="shared" si="11"/>
        <v>0</v>
      </c>
      <c r="D137" s="22">
        <f t="shared" si="12"/>
        <v>0</v>
      </c>
      <c r="E137" s="22">
        <f t="shared" si="13"/>
        <v>0</v>
      </c>
      <c r="F137" s="22">
        <v>0</v>
      </c>
      <c r="G137" s="22">
        <f>IF(B137&gt;G$24*G$27+G$33,0,(SUM(D$65:D136)*((1+G$22/G$23)^((B137-G$33)/(12/G$23))-1))-SUM(G$64:G136))</f>
        <v>0</v>
      </c>
      <c r="H137" s="2"/>
      <c r="K137" s="2">
        <f t="shared" si="14"/>
        <v>0</v>
      </c>
      <c r="L137" s="2">
        <f t="shared" si="10"/>
        <v>0</v>
      </c>
    </row>
    <row r="138" spans="1:12" ht="18.75">
      <c r="A138" s="8" t="s">
        <v>72</v>
      </c>
      <c r="B138" s="21">
        <v>74</v>
      </c>
      <c r="C138" s="22">
        <f t="shared" si="11"/>
        <v>0</v>
      </c>
      <c r="D138" s="22">
        <f t="shared" si="12"/>
        <v>0</v>
      </c>
      <c r="E138" s="22">
        <f t="shared" si="13"/>
        <v>0</v>
      </c>
      <c r="F138" s="22">
        <v>0</v>
      </c>
      <c r="G138" s="22">
        <f>IF(B138&gt;G$24*G$27+G$33,0,(SUM(D$65:D137)*((1+G$22/G$23)^((B138-G$33)/(12/G$23))-1))-SUM(G$64:G137))</f>
        <v>0</v>
      </c>
      <c r="H138" s="2"/>
      <c r="K138" s="2">
        <f t="shared" si="14"/>
        <v>0</v>
      </c>
      <c r="L138" s="2">
        <f aca="true" t="shared" si="15" ref="L138:L169">C138+E138-J138+D138</f>
        <v>0</v>
      </c>
    </row>
    <row r="139" spans="1:12" ht="18.75">
      <c r="A139" s="8" t="s">
        <v>52</v>
      </c>
      <c r="B139" s="21">
        <v>75</v>
      </c>
      <c r="C139" s="22">
        <f t="shared" si="11"/>
        <v>0</v>
      </c>
      <c r="D139" s="22">
        <f t="shared" si="12"/>
        <v>0</v>
      </c>
      <c r="E139" s="22">
        <f t="shared" si="13"/>
        <v>0</v>
      </c>
      <c r="F139" s="22">
        <v>0</v>
      </c>
      <c r="G139" s="22">
        <f>IF(B139&gt;G$24*G$27+G$33,0,(SUM(D$65:D138)*((1+G$22/G$23)^((B139-G$33)/(12/G$23))-1))-SUM(G$64:G138))</f>
        <v>0</v>
      </c>
      <c r="H139" s="2"/>
      <c r="J139" s="2">
        <f>I148*G$34*0.15</f>
        <v>0</v>
      </c>
      <c r="K139" s="2">
        <f t="shared" si="14"/>
        <v>0</v>
      </c>
      <c r="L139" s="2">
        <f t="shared" si="15"/>
        <v>0</v>
      </c>
    </row>
    <row r="140" spans="1:12" ht="18.75">
      <c r="A140" s="8" t="s">
        <v>73</v>
      </c>
      <c r="B140" s="21">
        <v>76</v>
      </c>
      <c r="C140" s="22">
        <f t="shared" si="11"/>
        <v>0</v>
      </c>
      <c r="D140" s="22">
        <f t="shared" si="12"/>
        <v>0</v>
      </c>
      <c r="E140" s="22">
        <f t="shared" si="13"/>
        <v>0</v>
      </c>
      <c r="F140" s="22">
        <v>0</v>
      </c>
      <c r="G140" s="22">
        <f>IF(B140&gt;G$24*G$27+G$33,0,(SUM(D$65:D139)*((1+G$22/G$23)^((B140-G$33)/(12/G$23))-1))-SUM(G$64:G139))</f>
        <v>0</v>
      </c>
      <c r="H140" s="2"/>
      <c r="K140" s="2">
        <f t="shared" si="14"/>
        <v>0</v>
      </c>
      <c r="L140" s="2">
        <f t="shared" si="15"/>
        <v>0</v>
      </c>
    </row>
    <row r="141" spans="1:12" ht="18.75">
      <c r="A141" s="8" t="s">
        <v>53</v>
      </c>
      <c r="B141" s="21">
        <v>77</v>
      </c>
      <c r="C141" s="22">
        <f aca="true" t="shared" si="16" ref="C141:C172">IF(B141=(G$24)*G$27+G$33,G$19*G$29,0)</f>
        <v>0</v>
      </c>
      <c r="D141" s="22">
        <f aca="true" t="shared" si="17" ref="D141:D172">IF(B141=($G$24)*G$27+G$33,-G$19*G$21*((1+G$22/G$23)^(G$24*G$23)),0)</f>
        <v>0</v>
      </c>
      <c r="E141" s="22">
        <f aca="true" t="shared" si="18" ref="E141:E172">IF(B141&lt;$G$33,0,IF(B141&lt;=G$24*G$27+$G$33-1,+(G$17*12/G$27),0))</f>
        <v>0</v>
      </c>
      <c r="F141" s="22">
        <v>0</v>
      </c>
      <c r="G141" s="22">
        <f>IF(B141&gt;G$24*G$27+G$33,0,(SUM(D$65:D140)*((1+G$22/G$23)^((B141-G$33)/(12/G$23))-1))-SUM(G$64:G140))</f>
        <v>0</v>
      </c>
      <c r="H141" s="2"/>
      <c r="K141" s="2">
        <f t="shared" si="14"/>
        <v>0</v>
      </c>
      <c r="L141" s="2">
        <f t="shared" si="15"/>
        <v>0</v>
      </c>
    </row>
    <row r="142" spans="1:12" ht="18.75">
      <c r="A142" s="8" t="s">
        <v>54</v>
      </c>
      <c r="B142" s="21">
        <v>78</v>
      </c>
      <c r="C142" s="22">
        <f t="shared" si="16"/>
        <v>0</v>
      </c>
      <c r="D142" s="22">
        <f t="shared" si="17"/>
        <v>0</v>
      </c>
      <c r="E142" s="22">
        <f t="shared" si="18"/>
        <v>0</v>
      </c>
      <c r="F142" s="22">
        <v>0</v>
      </c>
      <c r="G142" s="22">
        <f>IF(B142&gt;G$24*G$27+G$33,0,(SUM(D$65:D141)*((1+G$22/G$23)^((B142-G$33)/(12/G$23))-1))-SUM(G$64:G141))</f>
        <v>0</v>
      </c>
      <c r="H142" s="2"/>
      <c r="J142" s="2">
        <f>I148*$G$34*0.3</f>
        <v>0</v>
      </c>
      <c r="K142" s="2">
        <f t="shared" si="14"/>
        <v>0</v>
      </c>
      <c r="L142" s="2">
        <f t="shared" si="15"/>
        <v>0</v>
      </c>
    </row>
    <row r="143" spans="1:12" ht="18.75">
      <c r="A143" s="8" t="s">
        <v>74</v>
      </c>
      <c r="B143" s="21">
        <v>79</v>
      </c>
      <c r="C143" s="22">
        <f t="shared" si="16"/>
        <v>0</v>
      </c>
      <c r="D143" s="22">
        <f t="shared" si="17"/>
        <v>0</v>
      </c>
      <c r="E143" s="22">
        <f t="shared" si="18"/>
        <v>0</v>
      </c>
      <c r="F143" s="22">
        <v>0</v>
      </c>
      <c r="G143" s="22">
        <f>IF(B143&gt;G$24*G$27+G$33,0,(SUM(D$65:D142)*((1+G$22/G$23)^((B143-G$33)/(12/G$23))-1))-SUM(G$64:G142))</f>
        <v>0</v>
      </c>
      <c r="H143" s="2"/>
      <c r="K143" s="2">
        <f t="shared" si="14"/>
        <v>0</v>
      </c>
      <c r="L143" s="2">
        <f t="shared" si="15"/>
        <v>0</v>
      </c>
    </row>
    <row r="144" spans="1:12" ht="18.75">
      <c r="A144" s="8" t="s">
        <v>75</v>
      </c>
      <c r="B144" s="21">
        <v>80</v>
      </c>
      <c r="C144" s="22">
        <f t="shared" si="16"/>
        <v>0</v>
      </c>
      <c r="D144" s="22">
        <f t="shared" si="17"/>
        <v>0</v>
      </c>
      <c r="E144" s="22">
        <f t="shared" si="18"/>
        <v>0</v>
      </c>
      <c r="F144" s="22">
        <v>0</v>
      </c>
      <c r="G144" s="22">
        <f>IF(B144&gt;G$24*G$27+G$33,0,(SUM(D$65:D143)*((1+G$22/G$23)^((B144-G$33)/(12/G$23))-1))-SUM(G$64:G143))</f>
        <v>0</v>
      </c>
      <c r="H144" s="2"/>
      <c r="K144" s="2">
        <f t="shared" si="14"/>
        <v>0</v>
      </c>
      <c r="L144" s="2">
        <f t="shared" si="15"/>
        <v>0</v>
      </c>
    </row>
    <row r="145" spans="1:12" ht="18.75">
      <c r="A145" s="8" t="s">
        <v>55</v>
      </c>
      <c r="B145" s="21">
        <v>81</v>
      </c>
      <c r="C145" s="22">
        <f t="shared" si="16"/>
        <v>0</v>
      </c>
      <c r="D145" s="22">
        <f t="shared" si="17"/>
        <v>0</v>
      </c>
      <c r="E145" s="22">
        <f t="shared" si="18"/>
        <v>0</v>
      </c>
      <c r="F145" s="22">
        <v>0</v>
      </c>
      <c r="G145" s="22">
        <f>IF(B145&gt;G$24*G$27+G$33,0,(SUM(D$65:D144)*((1+G$22/G$23)^((B145-G$33)/(12/G$23))-1))-SUM(G$64:G144))</f>
        <v>0</v>
      </c>
      <c r="H145" s="2"/>
      <c r="J145" s="2">
        <f>I148*$G$34*0.3</f>
        <v>0</v>
      </c>
      <c r="K145" s="2">
        <f t="shared" si="14"/>
        <v>0</v>
      </c>
      <c r="L145" s="2">
        <f t="shared" si="15"/>
        <v>0</v>
      </c>
    </row>
    <row r="146" spans="1:12" ht="18.75">
      <c r="A146" s="8" t="s">
        <v>49</v>
      </c>
      <c r="B146" s="21">
        <v>82</v>
      </c>
      <c r="C146" s="22">
        <f t="shared" si="16"/>
        <v>0</v>
      </c>
      <c r="D146" s="22">
        <f t="shared" si="17"/>
        <v>0</v>
      </c>
      <c r="E146" s="22">
        <f t="shared" si="18"/>
        <v>0</v>
      </c>
      <c r="F146" s="22">
        <v>0</v>
      </c>
      <c r="G146" s="22">
        <f>IF(B146&gt;G$24*G$27+G$33,0,(SUM(D$65:D145)*((1+G$22/G$23)^((B146-G$33)/(12/G$23))-1))-SUM(G$64:G145))</f>
        <v>0</v>
      </c>
      <c r="H146" s="2"/>
      <c r="K146" s="2">
        <f t="shared" si="14"/>
        <v>0</v>
      </c>
      <c r="L146" s="2">
        <f t="shared" si="15"/>
        <v>0</v>
      </c>
    </row>
    <row r="147" spans="1:12" ht="18.75">
      <c r="A147" s="8" t="s">
        <v>76</v>
      </c>
      <c r="B147" s="21">
        <v>83</v>
      </c>
      <c r="C147" s="22">
        <f t="shared" si="16"/>
        <v>0</v>
      </c>
      <c r="D147" s="22">
        <f t="shared" si="17"/>
        <v>0</v>
      </c>
      <c r="E147" s="22">
        <f t="shared" si="18"/>
        <v>0</v>
      </c>
      <c r="F147" s="22">
        <v>0</v>
      </c>
      <c r="G147" s="22">
        <f>IF(B147&gt;G$24*G$27+G$33,0,(SUM(D$65:D146)*((1+G$22/G$23)^((B147-G$33)/(12/G$23))-1))-SUM(G$64:G146))</f>
        <v>0</v>
      </c>
      <c r="H147" s="2"/>
      <c r="K147" s="2">
        <f t="shared" si="14"/>
        <v>0</v>
      </c>
      <c r="L147" s="2">
        <f t="shared" si="15"/>
        <v>0</v>
      </c>
    </row>
    <row r="148" spans="1:12" ht="18.75">
      <c r="A148" s="8" t="s">
        <v>50</v>
      </c>
      <c r="B148" s="21">
        <v>84</v>
      </c>
      <c r="C148" s="22">
        <f t="shared" si="16"/>
        <v>0</v>
      </c>
      <c r="D148" s="22">
        <f t="shared" si="17"/>
        <v>0</v>
      </c>
      <c r="E148" s="22">
        <f t="shared" si="18"/>
        <v>0</v>
      </c>
      <c r="F148" s="23">
        <f>IF(B148&lt;(G$24+G$25)*G$27+G$33,($G$19-SUM(F$62:F147)-SUM(C$77:C148))*$G$31,G$19-SUM(F$62:F147)-SUM(C$77:C148)*1)</f>
        <v>0</v>
      </c>
      <c r="G148" s="22">
        <f>IF(B148&gt;G$24*G$27+G$33,0,(SUM(D$65:D147)*((1+G$22/G$23)^((B148-G$33)/(12/G$23))-1))-SUM(G$64:G147))</f>
        <v>0</v>
      </c>
      <c r="H148" s="2"/>
      <c r="I148" s="2">
        <f>SUM(E137:E148)-F148-SUM(G137:G148)</f>
        <v>0</v>
      </c>
      <c r="J148" s="2">
        <f>I148*$G$34*0.25</f>
        <v>0</v>
      </c>
      <c r="K148" s="2">
        <f t="shared" si="14"/>
        <v>0</v>
      </c>
      <c r="L148" s="2">
        <f t="shared" si="15"/>
        <v>0</v>
      </c>
    </row>
    <row r="149" spans="1:12" ht="18.75">
      <c r="A149" s="8" t="s">
        <v>51</v>
      </c>
      <c r="B149" s="21">
        <v>85</v>
      </c>
      <c r="C149" s="22">
        <f t="shared" si="16"/>
        <v>0</v>
      </c>
      <c r="D149" s="22">
        <f t="shared" si="17"/>
        <v>0</v>
      </c>
      <c r="E149" s="22">
        <f t="shared" si="18"/>
        <v>0</v>
      </c>
      <c r="F149" s="22">
        <v>0</v>
      </c>
      <c r="G149" s="22">
        <f>IF(B149&gt;G$24*G$27+G$33,0,(SUM(D$65:D148)*((1+G$22/G$23)^((B149-G$33)/(12/G$23))-1))-SUM(G$64:G148))</f>
        <v>0</v>
      </c>
      <c r="H149" s="2"/>
      <c r="K149" s="2">
        <f t="shared" si="14"/>
        <v>0</v>
      </c>
      <c r="L149" s="2">
        <f t="shared" si="15"/>
        <v>0</v>
      </c>
    </row>
    <row r="150" spans="1:12" ht="18.75">
      <c r="A150" s="8" t="s">
        <v>72</v>
      </c>
      <c r="B150" s="21">
        <v>86</v>
      </c>
      <c r="C150" s="22">
        <f t="shared" si="16"/>
        <v>0</v>
      </c>
      <c r="D150" s="22">
        <f t="shared" si="17"/>
        <v>0</v>
      </c>
      <c r="E150" s="22">
        <f t="shared" si="18"/>
        <v>0</v>
      </c>
      <c r="F150" s="22">
        <v>0</v>
      </c>
      <c r="G150" s="22">
        <f>IF(B150&gt;G$24*G$27+G$33,0,(SUM(D$65:D149)*((1+G$22/G$23)^((B150-G$33)/(12/G$23))-1))-SUM(G$64:G149))</f>
        <v>0</v>
      </c>
      <c r="H150" s="2"/>
      <c r="K150" s="2">
        <f t="shared" si="14"/>
        <v>0</v>
      </c>
      <c r="L150" s="2">
        <f t="shared" si="15"/>
        <v>0</v>
      </c>
    </row>
    <row r="151" spans="1:12" ht="18.75">
      <c r="A151" s="8" t="s">
        <v>52</v>
      </c>
      <c r="B151" s="21">
        <v>87</v>
      </c>
      <c r="C151" s="22">
        <f t="shared" si="16"/>
        <v>0</v>
      </c>
      <c r="D151" s="22">
        <f t="shared" si="17"/>
        <v>0</v>
      </c>
      <c r="E151" s="22">
        <f t="shared" si="18"/>
        <v>0</v>
      </c>
      <c r="F151" s="22">
        <v>0</v>
      </c>
      <c r="G151" s="22">
        <f>IF(B151&gt;G$24*G$27+G$33,0,(SUM(D$65:D150)*((1+G$22/G$23)^((B151-G$33)/(12/G$23))-1))-SUM(G$64:G150))</f>
        <v>0</v>
      </c>
      <c r="H151" s="2"/>
      <c r="J151" s="2">
        <f>I160*G$34*0.15</f>
        <v>0</v>
      </c>
      <c r="K151" s="2">
        <f t="shared" si="14"/>
        <v>0</v>
      </c>
      <c r="L151" s="2">
        <f t="shared" si="15"/>
        <v>0</v>
      </c>
    </row>
    <row r="152" spans="1:12" ht="18.75">
      <c r="A152" s="8"/>
      <c r="B152" s="21">
        <v>88</v>
      </c>
      <c r="C152" s="22">
        <f t="shared" si="16"/>
        <v>0</v>
      </c>
      <c r="D152" s="22">
        <f t="shared" si="17"/>
        <v>0</v>
      </c>
      <c r="E152" s="22">
        <f t="shared" si="18"/>
        <v>0</v>
      </c>
      <c r="F152" s="22">
        <v>0</v>
      </c>
      <c r="G152" s="22">
        <f>IF(B152&gt;G$24*G$27+G$33,0,(SUM(D$65:D151)*((1+G$22/G$23)^((B152-G$33)/(12/G$23))-1))-SUM(G$64:G151))</f>
        <v>0</v>
      </c>
      <c r="H152" s="2"/>
      <c r="K152" s="2">
        <f t="shared" si="14"/>
        <v>0</v>
      </c>
      <c r="L152" s="2">
        <f t="shared" si="15"/>
        <v>0</v>
      </c>
    </row>
    <row r="153" spans="1:13" ht="18.75">
      <c r="A153" s="8" t="s">
        <v>53</v>
      </c>
      <c r="B153" s="21">
        <v>89</v>
      </c>
      <c r="C153" s="22">
        <f t="shared" si="16"/>
        <v>0</v>
      </c>
      <c r="D153" s="22">
        <f t="shared" si="17"/>
        <v>0</v>
      </c>
      <c r="E153" s="22">
        <f t="shared" si="18"/>
        <v>0</v>
      </c>
      <c r="F153" s="22">
        <v>0</v>
      </c>
      <c r="G153" s="22">
        <f>IF(B153&gt;G$24*G$27+G$33,0,(SUM(D$65:D152)*((1+G$22/G$23)^((B153-G$33)/(12/G$23))-1))-SUM(G$64:G152))</f>
        <v>0</v>
      </c>
      <c r="H153" s="2"/>
      <c r="K153" s="2">
        <f t="shared" si="14"/>
        <v>0</v>
      </c>
      <c r="L153" s="2">
        <f t="shared" si="15"/>
        <v>0</v>
      </c>
      <c r="M153" s="9"/>
    </row>
    <row r="154" spans="1:13" ht="18.75">
      <c r="A154" s="8" t="s">
        <v>54</v>
      </c>
      <c r="B154" s="21">
        <v>90</v>
      </c>
      <c r="C154" s="22">
        <f t="shared" si="16"/>
        <v>0</v>
      </c>
      <c r="D154" s="22">
        <f t="shared" si="17"/>
        <v>0</v>
      </c>
      <c r="E154" s="22">
        <f t="shared" si="18"/>
        <v>0</v>
      </c>
      <c r="F154" s="22">
        <v>0</v>
      </c>
      <c r="G154" s="22">
        <f>IF(B154&gt;G$24*G$27+G$33,0,(SUM(D$65:D153)*((1+G$22/G$23)^((B154-G$33)/(12/G$23))-1))-SUM(G$64:G153))</f>
        <v>0</v>
      </c>
      <c r="H154" s="2"/>
      <c r="J154" s="2">
        <f>I160*$G$34*0.3</f>
        <v>0</v>
      </c>
      <c r="K154" s="2">
        <f t="shared" si="14"/>
        <v>0</v>
      </c>
      <c r="L154" s="2">
        <f t="shared" si="15"/>
        <v>0</v>
      </c>
      <c r="M154" s="9"/>
    </row>
    <row r="155" spans="1:13" ht="18.75">
      <c r="A155" s="8" t="s">
        <v>74</v>
      </c>
      <c r="B155" s="21">
        <v>91</v>
      </c>
      <c r="C155" s="22">
        <f t="shared" si="16"/>
        <v>0</v>
      </c>
      <c r="D155" s="22">
        <f t="shared" si="17"/>
        <v>0</v>
      </c>
      <c r="E155" s="22">
        <f t="shared" si="18"/>
        <v>0</v>
      </c>
      <c r="F155" s="22">
        <v>0</v>
      </c>
      <c r="G155" s="22">
        <f>IF(B155&gt;G$24*G$27+G$33,0,(SUM(D$65:D154)*((1+G$22/G$23)^((B155-G$33)/(12/G$23))-1))-SUM(G$64:G154))</f>
        <v>0</v>
      </c>
      <c r="H155" s="2"/>
      <c r="K155" s="2">
        <f t="shared" si="14"/>
        <v>0</v>
      </c>
      <c r="L155" s="2">
        <f t="shared" si="15"/>
        <v>0</v>
      </c>
      <c r="M155" s="9"/>
    </row>
    <row r="156" spans="1:13" ht="18.75">
      <c r="A156" s="8" t="s">
        <v>75</v>
      </c>
      <c r="B156" s="21">
        <v>92</v>
      </c>
      <c r="C156" s="22">
        <f t="shared" si="16"/>
        <v>0</v>
      </c>
      <c r="D156" s="22">
        <f t="shared" si="17"/>
        <v>0</v>
      </c>
      <c r="E156" s="22">
        <f t="shared" si="18"/>
        <v>0</v>
      </c>
      <c r="F156" s="22">
        <v>0</v>
      </c>
      <c r="G156" s="22">
        <f>IF(B156&gt;G$24*G$27+G$33,0,(SUM(D$65:D155)*((1+G$22/G$23)^((B156-G$33)/(12/G$23))-1))-SUM(G$64:G155))</f>
        <v>0</v>
      </c>
      <c r="H156" s="2"/>
      <c r="K156" s="2">
        <f t="shared" si="14"/>
        <v>0</v>
      </c>
      <c r="L156" s="2">
        <f t="shared" si="15"/>
        <v>0</v>
      </c>
      <c r="M156" s="9"/>
    </row>
    <row r="157" spans="1:13" ht="18.75">
      <c r="A157" s="8" t="s">
        <v>55</v>
      </c>
      <c r="B157" s="21">
        <v>93</v>
      </c>
      <c r="C157" s="22">
        <f t="shared" si="16"/>
        <v>0</v>
      </c>
      <c r="D157" s="22">
        <f t="shared" si="17"/>
        <v>0</v>
      </c>
      <c r="E157" s="22">
        <f t="shared" si="18"/>
        <v>0</v>
      </c>
      <c r="F157" s="22">
        <v>0</v>
      </c>
      <c r="G157" s="22">
        <f>IF(B157&gt;G$24*G$27+G$33,0,(SUM(D$65:D156)*((1+G$22/G$23)^((B157-G$33)/(12/G$23))-1))-SUM(G$64:G156))</f>
        <v>0</v>
      </c>
      <c r="H157" s="2"/>
      <c r="J157" s="2">
        <f>I160*$G$34*0.3</f>
        <v>0</v>
      </c>
      <c r="K157" s="2">
        <f t="shared" si="14"/>
        <v>0</v>
      </c>
      <c r="L157" s="2">
        <f t="shared" si="15"/>
        <v>0</v>
      </c>
      <c r="M157" s="9"/>
    </row>
    <row r="158" spans="1:13" ht="18.75">
      <c r="A158" s="8" t="s">
        <v>49</v>
      </c>
      <c r="B158" s="21">
        <v>94</v>
      </c>
      <c r="C158" s="22">
        <f t="shared" si="16"/>
        <v>0</v>
      </c>
      <c r="D158" s="22">
        <f t="shared" si="17"/>
        <v>0</v>
      </c>
      <c r="E158" s="22">
        <f t="shared" si="18"/>
        <v>0</v>
      </c>
      <c r="F158" s="22">
        <v>0</v>
      </c>
      <c r="G158" s="22">
        <f>IF(B158&gt;G$24*G$27+G$33,0,(SUM(D$65:D157)*((1+G$22/G$23)^((B158-G$33)/(12/G$23))-1))-SUM(G$64:G157))</f>
        <v>0</v>
      </c>
      <c r="H158" s="2"/>
      <c r="K158" s="2">
        <f t="shared" si="14"/>
        <v>0</v>
      </c>
      <c r="L158" s="2">
        <f t="shared" si="15"/>
        <v>0</v>
      </c>
      <c r="M158" s="9"/>
    </row>
    <row r="159" spans="1:13" ht="18.75">
      <c r="A159" s="8" t="s">
        <v>76</v>
      </c>
      <c r="B159" s="21">
        <v>95</v>
      </c>
      <c r="C159" s="22">
        <f t="shared" si="16"/>
        <v>0</v>
      </c>
      <c r="D159" s="22">
        <f t="shared" si="17"/>
        <v>0</v>
      </c>
      <c r="E159" s="22">
        <f t="shared" si="18"/>
        <v>0</v>
      </c>
      <c r="F159" s="22">
        <v>0</v>
      </c>
      <c r="G159" s="22">
        <f>IF(B159&gt;G$24*G$27+G$33,0,(SUM(D$65:D158)*((1+G$22/G$23)^((B159-G$33)/(12/G$23))-1))-SUM(G$64:G158))</f>
        <v>0</v>
      </c>
      <c r="H159" s="2"/>
      <c r="K159" s="2">
        <f t="shared" si="14"/>
        <v>0</v>
      </c>
      <c r="L159" s="2">
        <f t="shared" si="15"/>
        <v>0</v>
      </c>
      <c r="M159" s="9"/>
    </row>
    <row r="160" spans="1:13" ht="18.75">
      <c r="A160" s="8" t="s">
        <v>50</v>
      </c>
      <c r="B160" s="21">
        <v>96</v>
      </c>
      <c r="C160" s="22">
        <f t="shared" si="16"/>
        <v>0</v>
      </c>
      <c r="D160" s="22">
        <f t="shared" si="17"/>
        <v>0</v>
      </c>
      <c r="E160" s="22">
        <f t="shared" si="18"/>
        <v>0</v>
      </c>
      <c r="F160" s="23">
        <f>IF(B160&lt;(G$24+G$25)*G$27+G$33,($G$19-SUM(F$62:F159)-SUM(C$77:C160))*$G$31,G$19-SUM(F$62:F159)-SUM(C$77:C160)*1)</f>
        <v>0</v>
      </c>
      <c r="G160" s="22">
        <f>IF(B160&gt;G$24*G$27+G$33,0,(SUM(D$65:D159)*((1+G$22/G$23)^((B160-G$33)/(12/G$23))-1))-SUM(G$64:G159))</f>
        <v>0</v>
      </c>
      <c r="H160" s="2"/>
      <c r="I160" s="2">
        <f>SUM(E149:E160)-F160-SUM(G149:G160)</f>
        <v>0</v>
      </c>
      <c r="J160" s="2">
        <f>I160*$G$34*0.25</f>
        <v>0</v>
      </c>
      <c r="K160" s="2">
        <f t="shared" si="14"/>
        <v>0</v>
      </c>
      <c r="L160" s="2">
        <f t="shared" si="15"/>
        <v>0</v>
      </c>
      <c r="M160" s="9"/>
    </row>
    <row r="161" spans="1:13" ht="18.75">
      <c r="A161" s="8" t="s">
        <v>51</v>
      </c>
      <c r="B161" s="21">
        <v>97</v>
      </c>
      <c r="C161" s="22">
        <f t="shared" si="16"/>
        <v>0</v>
      </c>
      <c r="D161" s="22">
        <f t="shared" si="17"/>
        <v>0</v>
      </c>
      <c r="E161" s="22">
        <f t="shared" si="18"/>
        <v>0</v>
      </c>
      <c r="F161" s="22">
        <v>0</v>
      </c>
      <c r="G161" s="22">
        <f>IF(B161&gt;G$24*G$27+G$33,0,(SUM(D$65:D160)*((1+G$22/G$23)^((B161-G$33)/(12/G$23))-1))-SUM(G$64:G160))</f>
        <v>0</v>
      </c>
      <c r="H161" s="2"/>
      <c r="K161" s="2">
        <f aca="true" t="shared" si="19" ref="K161:K192">C161+D161+E161</f>
        <v>0</v>
      </c>
      <c r="L161" s="2">
        <f t="shared" si="15"/>
        <v>0</v>
      </c>
      <c r="M161" s="9"/>
    </row>
    <row r="162" spans="1:13" ht="18.75">
      <c r="A162" s="8" t="s">
        <v>72</v>
      </c>
      <c r="B162" s="21">
        <v>98</v>
      </c>
      <c r="C162" s="22">
        <f t="shared" si="16"/>
        <v>0</v>
      </c>
      <c r="D162" s="22">
        <f t="shared" si="17"/>
        <v>0</v>
      </c>
      <c r="E162" s="22">
        <f t="shared" si="18"/>
        <v>0</v>
      </c>
      <c r="F162" s="22">
        <v>0</v>
      </c>
      <c r="G162" s="22">
        <f>IF(B162&gt;G$24*G$27+G$33,0,(SUM(D$65:D161)*((1+G$22/G$23)^((B162-G$33)/(12/G$23))-1))-SUM(G$64:G161))</f>
        <v>0</v>
      </c>
      <c r="H162" s="2"/>
      <c r="K162" s="2">
        <f t="shared" si="19"/>
        <v>0</v>
      </c>
      <c r="L162" s="2">
        <f t="shared" si="15"/>
        <v>0</v>
      </c>
      <c r="M162" s="9"/>
    </row>
    <row r="163" spans="1:13" ht="18.75">
      <c r="A163" s="8" t="s">
        <v>52</v>
      </c>
      <c r="B163" s="21">
        <v>99</v>
      </c>
      <c r="C163" s="22">
        <f t="shared" si="16"/>
        <v>0</v>
      </c>
      <c r="D163" s="22">
        <f t="shared" si="17"/>
        <v>0</v>
      </c>
      <c r="E163" s="22">
        <f t="shared" si="18"/>
        <v>0</v>
      </c>
      <c r="F163" s="22">
        <v>0</v>
      </c>
      <c r="G163" s="22">
        <f>IF(B163&gt;G$24*G$27+G$33,0,(SUM(D$65:D162)*((1+G$22/G$23)^((B163-G$33)/(12/G$23))-1))-SUM(G$64:G162))</f>
        <v>0</v>
      </c>
      <c r="H163" s="2"/>
      <c r="J163" s="2">
        <f>I172*G$34*0.15</f>
        <v>0</v>
      </c>
      <c r="K163" s="2">
        <f t="shared" si="19"/>
        <v>0</v>
      </c>
      <c r="L163" s="2">
        <f t="shared" si="15"/>
        <v>0</v>
      </c>
      <c r="M163" s="9"/>
    </row>
    <row r="164" spans="1:13" ht="18.75">
      <c r="A164" s="8" t="s">
        <v>73</v>
      </c>
      <c r="B164" s="21">
        <v>100</v>
      </c>
      <c r="C164" s="22">
        <f t="shared" si="16"/>
        <v>0</v>
      </c>
      <c r="D164" s="22">
        <f t="shared" si="17"/>
        <v>0</v>
      </c>
      <c r="E164" s="22">
        <f t="shared" si="18"/>
        <v>0</v>
      </c>
      <c r="F164" s="22">
        <v>0</v>
      </c>
      <c r="G164" s="22">
        <f>IF(B164&gt;G$24*G$27+G$33,0,(SUM(D$65:D163)*((1+G$22/G$23)^((B164-G$33)/(12/G$23))-1))-SUM(G$64:G163))</f>
        <v>0</v>
      </c>
      <c r="H164" s="2"/>
      <c r="K164" s="2">
        <f t="shared" si="19"/>
        <v>0</v>
      </c>
      <c r="L164" s="2">
        <f t="shared" si="15"/>
        <v>0</v>
      </c>
      <c r="M164" s="9"/>
    </row>
    <row r="165" spans="1:13" ht="18.75">
      <c r="A165" s="8" t="s">
        <v>53</v>
      </c>
      <c r="B165" s="21">
        <v>101</v>
      </c>
      <c r="C165" s="22">
        <f t="shared" si="16"/>
        <v>0</v>
      </c>
      <c r="D165" s="22">
        <f t="shared" si="17"/>
        <v>0</v>
      </c>
      <c r="E165" s="22">
        <f t="shared" si="18"/>
        <v>0</v>
      </c>
      <c r="F165" s="22">
        <v>0</v>
      </c>
      <c r="G165" s="22">
        <f>IF(B165&gt;G$24*G$27+G$33,0,(SUM(D$65:D164)*((1+G$22/G$23)^((B165-G$33)/(12/G$23))-1))-SUM(G$64:G164))</f>
        <v>0</v>
      </c>
      <c r="H165" s="2"/>
      <c r="K165" s="2">
        <f t="shared" si="19"/>
        <v>0</v>
      </c>
      <c r="L165" s="2">
        <f t="shared" si="15"/>
        <v>0</v>
      </c>
      <c r="M165" s="9"/>
    </row>
    <row r="166" spans="1:13" ht="18.75">
      <c r="A166" s="8" t="s">
        <v>54</v>
      </c>
      <c r="B166" s="21">
        <v>102</v>
      </c>
      <c r="C166" s="22">
        <f t="shared" si="16"/>
        <v>0</v>
      </c>
      <c r="D166" s="22">
        <f t="shared" si="17"/>
        <v>0</v>
      </c>
      <c r="E166" s="22">
        <f t="shared" si="18"/>
        <v>0</v>
      </c>
      <c r="F166" s="22">
        <v>0</v>
      </c>
      <c r="G166" s="22">
        <f>IF(B166&gt;G$24*G$27+G$33,0,(SUM(D$65:D165)*((1+G$22/G$23)^((B166-G$33)/(12/G$23))-1))-SUM(G$64:G165))</f>
        <v>0</v>
      </c>
      <c r="H166" s="2"/>
      <c r="J166" s="2">
        <f>I172*$G$34*0.3</f>
        <v>0</v>
      </c>
      <c r="K166" s="2">
        <f t="shared" si="19"/>
        <v>0</v>
      </c>
      <c r="L166" s="2">
        <f t="shared" si="15"/>
        <v>0</v>
      </c>
      <c r="M166" s="9"/>
    </row>
    <row r="167" spans="1:13" ht="18.75">
      <c r="A167" s="8" t="s">
        <v>74</v>
      </c>
      <c r="B167" s="21">
        <v>103</v>
      </c>
      <c r="C167" s="22">
        <f t="shared" si="16"/>
        <v>0</v>
      </c>
      <c r="D167" s="22">
        <f t="shared" si="17"/>
        <v>0</v>
      </c>
      <c r="E167" s="22">
        <f t="shared" si="18"/>
        <v>0</v>
      </c>
      <c r="F167" s="22">
        <v>0</v>
      </c>
      <c r="G167" s="22">
        <f>IF(B167&gt;G$24*G$27+G$33,0,(SUM(D$65:D166)*((1+G$22/G$23)^((B167-G$33)/(12/G$23))-1))-SUM(G$64:G166))</f>
        <v>0</v>
      </c>
      <c r="H167" s="2"/>
      <c r="K167" s="2">
        <f t="shared" si="19"/>
        <v>0</v>
      </c>
      <c r="L167" s="2">
        <f t="shared" si="15"/>
        <v>0</v>
      </c>
      <c r="M167" s="9"/>
    </row>
    <row r="168" spans="1:13" ht="18.75">
      <c r="A168" s="8" t="s">
        <v>75</v>
      </c>
      <c r="B168" s="21">
        <v>104</v>
      </c>
      <c r="C168" s="22">
        <f t="shared" si="16"/>
        <v>0</v>
      </c>
      <c r="D168" s="22">
        <f t="shared" si="17"/>
        <v>0</v>
      </c>
      <c r="E168" s="22">
        <f t="shared" si="18"/>
        <v>0</v>
      </c>
      <c r="F168" s="22">
        <v>0</v>
      </c>
      <c r="G168" s="22">
        <f>IF(B168&gt;G$24*G$27+G$33,0,(SUM(D$65:D167)*((1+G$22/G$23)^((B168-G$33)/(12/G$23))-1))-SUM(G$64:G167))</f>
        <v>0</v>
      </c>
      <c r="H168" s="2"/>
      <c r="K168" s="2">
        <f t="shared" si="19"/>
        <v>0</v>
      </c>
      <c r="L168" s="2">
        <f t="shared" si="15"/>
        <v>0</v>
      </c>
      <c r="M168" s="9"/>
    </row>
    <row r="169" spans="1:13" ht="18.75">
      <c r="A169" s="8" t="s">
        <v>55</v>
      </c>
      <c r="B169" s="21">
        <v>105</v>
      </c>
      <c r="C169" s="22">
        <f t="shared" si="16"/>
        <v>0</v>
      </c>
      <c r="D169" s="22">
        <f t="shared" si="17"/>
        <v>0</v>
      </c>
      <c r="E169" s="22">
        <f t="shared" si="18"/>
        <v>0</v>
      </c>
      <c r="F169" s="22">
        <v>0</v>
      </c>
      <c r="G169" s="22">
        <f>IF(B169&gt;G$24*G$27+G$33,0,(SUM(D$65:D168)*((1+G$22/G$23)^((B169-G$33)/(12/G$23))-1))-SUM(G$64:G168))</f>
        <v>0</v>
      </c>
      <c r="H169" s="2"/>
      <c r="J169" s="2">
        <f>I172*$G$34*0.3</f>
        <v>0</v>
      </c>
      <c r="K169" s="2">
        <f t="shared" si="19"/>
        <v>0</v>
      </c>
      <c r="L169" s="2">
        <f t="shared" si="15"/>
        <v>0</v>
      </c>
      <c r="M169" s="9"/>
    </row>
    <row r="170" spans="1:13" ht="18.75">
      <c r="A170" s="8" t="s">
        <v>49</v>
      </c>
      <c r="B170" s="21">
        <v>106</v>
      </c>
      <c r="C170" s="22">
        <f t="shared" si="16"/>
        <v>0</v>
      </c>
      <c r="D170" s="22">
        <f t="shared" si="17"/>
        <v>0</v>
      </c>
      <c r="E170" s="22">
        <f t="shared" si="18"/>
        <v>0</v>
      </c>
      <c r="F170" s="22">
        <v>0</v>
      </c>
      <c r="G170" s="22">
        <f>IF(B170&gt;G$24*G$27+G$33,0,(SUM(D$65:D169)*((1+G$22/G$23)^((B170-G$33)/(12/G$23))-1))-SUM(G$64:G169))</f>
        <v>0</v>
      </c>
      <c r="H170" s="2"/>
      <c r="K170" s="2">
        <f t="shared" si="19"/>
        <v>0</v>
      </c>
      <c r="L170" s="2">
        <f aca="true" t="shared" si="20" ref="L170:L201">C170+E170-J170+D170</f>
        <v>0</v>
      </c>
      <c r="M170" s="9"/>
    </row>
    <row r="171" spans="1:13" ht="18.75">
      <c r="A171" s="8" t="s">
        <v>76</v>
      </c>
      <c r="B171" s="21">
        <v>107</v>
      </c>
      <c r="C171" s="22">
        <f t="shared" si="16"/>
        <v>0</v>
      </c>
      <c r="D171" s="22">
        <f t="shared" si="17"/>
        <v>0</v>
      </c>
      <c r="E171" s="22">
        <f t="shared" si="18"/>
        <v>0</v>
      </c>
      <c r="F171" s="22">
        <v>0</v>
      </c>
      <c r="G171" s="22">
        <f>IF(B171&gt;G$24*G$27+G$33,0,(SUM(D$65:D170)*((1+G$22/G$23)^((B171-G$33)/(12/G$23))-1))-SUM(G$64:G170))</f>
        <v>0</v>
      </c>
      <c r="H171" s="2"/>
      <c r="K171" s="2">
        <f t="shared" si="19"/>
        <v>0</v>
      </c>
      <c r="L171" s="2">
        <f t="shared" si="20"/>
        <v>0</v>
      </c>
      <c r="M171" s="9"/>
    </row>
    <row r="172" spans="1:13" ht="18.75">
      <c r="A172" s="8" t="s">
        <v>50</v>
      </c>
      <c r="B172" s="21">
        <v>108</v>
      </c>
      <c r="C172" s="22">
        <f t="shared" si="16"/>
        <v>0</v>
      </c>
      <c r="D172" s="22">
        <f t="shared" si="17"/>
        <v>0</v>
      </c>
      <c r="E172" s="22">
        <f t="shared" si="18"/>
        <v>0</v>
      </c>
      <c r="F172" s="23">
        <f>IF(B172&lt;(G$24+G$25)*G$27+G$33,($G$19-SUM(F$62:F171)-SUM(C$77:C172))*$G$31,G$19-SUM(F$62:F171)-SUM(C$77:C172)*1)</f>
        <v>0</v>
      </c>
      <c r="G172" s="22">
        <f>IF(B172&gt;G$24*G$27+G$33,0,(SUM(D$65:D171)*((1+G$22/G$23)^((B172-G$33)/(12/G$23))-1))-SUM(G$64:G171))</f>
        <v>0</v>
      </c>
      <c r="H172" s="2"/>
      <c r="I172" s="2">
        <f>SUM(E161:E172)-F172-SUM(G161:G172)</f>
        <v>0</v>
      </c>
      <c r="J172" s="2">
        <f>I172*$G$34*0.25</f>
        <v>0</v>
      </c>
      <c r="K172" s="2">
        <f t="shared" si="19"/>
        <v>0</v>
      </c>
      <c r="L172" s="2">
        <f t="shared" si="20"/>
        <v>0</v>
      </c>
      <c r="M172" s="9"/>
    </row>
    <row r="173" spans="1:13" ht="18.75">
      <c r="A173" s="8" t="s">
        <v>51</v>
      </c>
      <c r="B173" s="21">
        <v>109</v>
      </c>
      <c r="C173" s="22">
        <f aca="true" t="shared" si="21" ref="C173:C204">IF(B173=(G$24)*G$27+G$33,G$19*G$29,0)</f>
        <v>0</v>
      </c>
      <c r="D173" s="22">
        <f aca="true" t="shared" si="22" ref="D173:D204">IF(B173=($G$24)*G$27+G$33,-G$19*G$21*((1+G$22/G$23)^(G$24*G$23)),0)</f>
        <v>0</v>
      </c>
      <c r="E173" s="22">
        <f aca="true" t="shared" si="23" ref="E173:E204">IF(B173&lt;$G$33,0,IF(B173&lt;=G$24*G$27+$G$33-1,+(G$17*12/G$27),0))</f>
        <v>0</v>
      </c>
      <c r="F173" s="22">
        <v>0</v>
      </c>
      <c r="G173" s="22">
        <f>IF(B173&gt;G$24*G$27+G$33,0,(SUM(D$65:D172)*((1+G$22/G$23)^((B173-G$33)/(12/G$23))-1))-SUM(G$64:G172))</f>
        <v>0</v>
      </c>
      <c r="H173" s="2"/>
      <c r="K173" s="2">
        <f t="shared" si="19"/>
        <v>0</v>
      </c>
      <c r="L173" s="2">
        <f t="shared" si="20"/>
        <v>0</v>
      </c>
      <c r="M173" s="9"/>
    </row>
    <row r="174" spans="1:13" ht="18.75">
      <c r="A174" s="8" t="s">
        <v>72</v>
      </c>
      <c r="B174" s="21">
        <v>110</v>
      </c>
      <c r="C174" s="22">
        <f t="shared" si="21"/>
        <v>0</v>
      </c>
      <c r="D174" s="22">
        <f t="shared" si="22"/>
        <v>0</v>
      </c>
      <c r="E174" s="22">
        <f t="shared" si="23"/>
        <v>0</v>
      </c>
      <c r="F174" s="22">
        <v>0</v>
      </c>
      <c r="G174" s="22">
        <f>IF(B174&gt;G$24*G$27+G$33,0,(SUM(D$65:D173)*((1+G$22/G$23)^((B174-G$33)/(12/G$23))-1))-SUM(G$64:G173))</f>
        <v>0</v>
      </c>
      <c r="H174" s="2"/>
      <c r="K174" s="2">
        <f t="shared" si="19"/>
        <v>0</v>
      </c>
      <c r="L174" s="2">
        <f t="shared" si="20"/>
        <v>0</v>
      </c>
      <c r="M174" s="9"/>
    </row>
    <row r="175" spans="1:13" ht="18.75">
      <c r="A175" s="8" t="s">
        <v>52</v>
      </c>
      <c r="B175" s="21">
        <v>111</v>
      </c>
      <c r="C175" s="22">
        <f t="shared" si="21"/>
        <v>0</v>
      </c>
      <c r="D175" s="22">
        <f t="shared" si="22"/>
        <v>0</v>
      </c>
      <c r="E175" s="22">
        <f t="shared" si="23"/>
        <v>0</v>
      </c>
      <c r="F175" s="22">
        <v>0</v>
      </c>
      <c r="G175" s="22">
        <f>IF(B175&gt;G$24*G$27+G$33,0,(SUM(D$65:D174)*((1+G$22/G$23)^((B175-G$33)/(12/G$23))-1))-SUM(G$64:G174))</f>
        <v>0</v>
      </c>
      <c r="H175" s="2"/>
      <c r="J175" s="2">
        <f>I184*G$34*0.15</f>
        <v>0</v>
      </c>
      <c r="K175" s="2">
        <f t="shared" si="19"/>
        <v>0</v>
      </c>
      <c r="L175" s="2">
        <f t="shared" si="20"/>
        <v>0</v>
      </c>
      <c r="M175" s="9"/>
    </row>
    <row r="176" spans="1:13" ht="18.75">
      <c r="A176" s="8" t="s">
        <v>73</v>
      </c>
      <c r="B176" s="21">
        <v>112</v>
      </c>
      <c r="C176" s="22">
        <f t="shared" si="21"/>
        <v>0</v>
      </c>
      <c r="D176" s="22">
        <f t="shared" si="22"/>
        <v>0</v>
      </c>
      <c r="E176" s="22">
        <f t="shared" si="23"/>
        <v>0</v>
      </c>
      <c r="F176" s="22">
        <v>0</v>
      </c>
      <c r="G176" s="22">
        <f>IF(B176&gt;G$24*G$27+G$33,0,(SUM(D$65:D175)*((1+G$22/G$23)^((B176-G$33)/(12/G$23))-1))-SUM(G$64:G175))</f>
        <v>0</v>
      </c>
      <c r="H176" s="2"/>
      <c r="K176" s="2">
        <f t="shared" si="19"/>
        <v>0</v>
      </c>
      <c r="L176" s="2">
        <f t="shared" si="20"/>
        <v>0</v>
      </c>
      <c r="M176" s="9"/>
    </row>
    <row r="177" spans="1:13" ht="18.75">
      <c r="A177" s="8" t="s">
        <v>53</v>
      </c>
      <c r="B177" s="21">
        <v>113</v>
      </c>
      <c r="C177" s="22">
        <f t="shared" si="21"/>
        <v>0</v>
      </c>
      <c r="D177" s="22">
        <f t="shared" si="22"/>
        <v>0</v>
      </c>
      <c r="E177" s="22">
        <f t="shared" si="23"/>
        <v>0</v>
      </c>
      <c r="F177" s="22">
        <v>0</v>
      </c>
      <c r="G177" s="22">
        <f>IF(B177&gt;G$24*G$27+G$33,0,(SUM(D$65:D176)*((1+G$22/G$23)^((B177-G$33)/(12/G$23))-1))-SUM(G$64:G176))</f>
        <v>0</v>
      </c>
      <c r="H177" s="2"/>
      <c r="K177" s="2">
        <f t="shared" si="19"/>
        <v>0</v>
      </c>
      <c r="L177" s="2">
        <f t="shared" si="20"/>
        <v>0</v>
      </c>
      <c r="M177" s="9"/>
    </row>
    <row r="178" spans="1:13" ht="18.75">
      <c r="A178" s="8" t="s">
        <v>54</v>
      </c>
      <c r="B178" s="21">
        <v>114</v>
      </c>
      <c r="C178" s="22">
        <f t="shared" si="21"/>
        <v>0</v>
      </c>
      <c r="D178" s="22">
        <f t="shared" si="22"/>
        <v>0</v>
      </c>
      <c r="E178" s="22">
        <f t="shared" si="23"/>
        <v>0</v>
      </c>
      <c r="F178" s="22">
        <v>0</v>
      </c>
      <c r="G178" s="22">
        <f>IF(B178&gt;G$24*G$27+G$33,0,(SUM(D$65:D177)*((1+G$22/G$23)^((B178-G$33)/(12/G$23))-1))-SUM(G$64:G177))</f>
        <v>0</v>
      </c>
      <c r="H178" s="2"/>
      <c r="J178" s="2">
        <f>I184*$G$34*0.3</f>
        <v>0</v>
      </c>
      <c r="K178" s="2">
        <f t="shared" si="19"/>
        <v>0</v>
      </c>
      <c r="L178" s="2">
        <f t="shared" si="20"/>
        <v>0</v>
      </c>
      <c r="M178" s="9"/>
    </row>
    <row r="179" spans="1:13" ht="18.75">
      <c r="A179" s="8" t="s">
        <v>74</v>
      </c>
      <c r="B179" s="21">
        <v>115</v>
      </c>
      <c r="C179" s="22">
        <f t="shared" si="21"/>
        <v>0</v>
      </c>
      <c r="D179" s="22">
        <f t="shared" si="22"/>
        <v>0</v>
      </c>
      <c r="E179" s="22">
        <f t="shared" si="23"/>
        <v>0</v>
      </c>
      <c r="F179" s="22">
        <v>0</v>
      </c>
      <c r="G179" s="22">
        <f>IF(B179&gt;G$24*G$27+G$33,0,(SUM(D$65:D178)*((1+G$22/G$23)^((B179-G$33)/(12/G$23))-1))-SUM(G$64:G178))</f>
        <v>0</v>
      </c>
      <c r="H179" s="2"/>
      <c r="K179" s="2">
        <f t="shared" si="19"/>
        <v>0</v>
      </c>
      <c r="L179" s="2">
        <f t="shared" si="20"/>
        <v>0</v>
      </c>
      <c r="M179" s="9"/>
    </row>
    <row r="180" spans="1:13" ht="18.75">
      <c r="A180" s="8" t="s">
        <v>75</v>
      </c>
      <c r="B180" s="21">
        <v>116</v>
      </c>
      <c r="C180" s="22">
        <f t="shared" si="21"/>
        <v>0</v>
      </c>
      <c r="D180" s="22">
        <f t="shared" si="22"/>
        <v>0</v>
      </c>
      <c r="E180" s="22">
        <f t="shared" si="23"/>
        <v>0</v>
      </c>
      <c r="F180" s="22">
        <v>0</v>
      </c>
      <c r="G180" s="22">
        <f>IF(B180&gt;G$24*G$27+G$33,0,(SUM(D$65:D179)*((1+G$22/G$23)^((B180-G$33)/(12/G$23))-1))-SUM(G$64:G179))</f>
        <v>0</v>
      </c>
      <c r="H180" s="2"/>
      <c r="K180" s="2">
        <f t="shared" si="19"/>
        <v>0</v>
      </c>
      <c r="L180" s="2">
        <f t="shared" si="20"/>
        <v>0</v>
      </c>
      <c r="M180" s="9"/>
    </row>
    <row r="181" spans="1:13" ht="18.75">
      <c r="A181" s="8" t="s">
        <v>55</v>
      </c>
      <c r="B181" s="21">
        <v>117</v>
      </c>
      <c r="C181" s="22">
        <f t="shared" si="21"/>
        <v>0</v>
      </c>
      <c r="D181" s="22">
        <f t="shared" si="22"/>
        <v>0</v>
      </c>
      <c r="E181" s="22">
        <f t="shared" si="23"/>
        <v>0</v>
      </c>
      <c r="F181" s="22">
        <v>0</v>
      </c>
      <c r="G181" s="22">
        <f>IF(B181&gt;G$24*G$27+G$33,0,(SUM(D$65:D180)*((1+G$22/G$23)^((B181-G$33)/(12/G$23))-1))-SUM(G$64:G180))</f>
        <v>0</v>
      </c>
      <c r="H181" s="2"/>
      <c r="J181" s="2">
        <f>I184*$G$34*0.3</f>
        <v>0</v>
      </c>
      <c r="K181" s="2">
        <f t="shared" si="19"/>
        <v>0</v>
      </c>
      <c r="L181" s="2">
        <f t="shared" si="20"/>
        <v>0</v>
      </c>
      <c r="M181" s="9"/>
    </row>
    <row r="182" spans="1:13" ht="18.75">
      <c r="A182" s="8" t="s">
        <v>49</v>
      </c>
      <c r="B182" s="21">
        <v>118</v>
      </c>
      <c r="C182" s="22">
        <f t="shared" si="21"/>
        <v>0</v>
      </c>
      <c r="D182" s="22">
        <f t="shared" si="22"/>
        <v>0</v>
      </c>
      <c r="E182" s="22">
        <f t="shared" si="23"/>
        <v>0</v>
      </c>
      <c r="F182" s="22">
        <v>0</v>
      </c>
      <c r="G182" s="22">
        <f>IF(B182&gt;G$24*G$27+G$33,0,(SUM(D$65:D181)*((1+G$22/G$23)^((B182-G$33)/(12/G$23))-1))-SUM(G$64:G181))</f>
        <v>0</v>
      </c>
      <c r="H182" s="2"/>
      <c r="K182" s="2">
        <f t="shared" si="19"/>
        <v>0</v>
      </c>
      <c r="L182" s="2">
        <f t="shared" si="20"/>
        <v>0</v>
      </c>
      <c r="M182" s="9"/>
    </row>
    <row r="183" spans="1:13" ht="18.75">
      <c r="A183" s="8" t="s">
        <v>76</v>
      </c>
      <c r="B183" s="21">
        <v>119</v>
      </c>
      <c r="C183" s="22">
        <f t="shared" si="21"/>
        <v>0</v>
      </c>
      <c r="D183" s="22">
        <f t="shared" si="22"/>
        <v>0</v>
      </c>
      <c r="E183" s="22">
        <f t="shared" si="23"/>
        <v>0</v>
      </c>
      <c r="F183" s="22">
        <v>0</v>
      </c>
      <c r="G183" s="22">
        <f>IF(B183&gt;G$24*G$27+G$33,0,(SUM(D$65:D182)*((1+G$22/G$23)^((B183-G$33)/(12/G$23))-1))-SUM(G$64:G182))</f>
        <v>0</v>
      </c>
      <c r="H183" s="2"/>
      <c r="K183" s="2">
        <f t="shared" si="19"/>
        <v>0</v>
      </c>
      <c r="L183" s="2">
        <f t="shared" si="20"/>
        <v>0</v>
      </c>
      <c r="M183" s="9"/>
    </row>
    <row r="184" spans="1:13" ht="18.75">
      <c r="A184" s="8" t="s">
        <v>50</v>
      </c>
      <c r="B184" s="21">
        <v>120</v>
      </c>
      <c r="C184" s="22">
        <f t="shared" si="21"/>
        <v>0</v>
      </c>
      <c r="D184" s="22">
        <f t="shared" si="22"/>
        <v>0</v>
      </c>
      <c r="E184" s="22">
        <f t="shared" si="23"/>
        <v>0</v>
      </c>
      <c r="F184" s="23">
        <f>IF(B184&lt;(G$24+G$25)*G$27+G$33,($G$19-SUM(F$62:F183)-SUM(C$77:C184))*$G$31,G$19-SUM(F$62:F183)-SUM(C$77:C184)*1)</f>
        <v>0</v>
      </c>
      <c r="G184" s="22">
        <f>IF(B184&gt;G$24*G$27+G$33,0,(SUM(D$65:D183)*((1+G$22/G$23)^((B184-G$33)/(12/G$23))-1))-SUM(G$64:G183))</f>
        <v>0</v>
      </c>
      <c r="H184" s="2"/>
      <c r="I184" s="2">
        <f>SUM(E173:E184)-F184-SUM(G173:G184)</f>
        <v>0</v>
      </c>
      <c r="J184" s="2">
        <f>I184*$G$34*0.25</f>
        <v>0</v>
      </c>
      <c r="K184" s="2">
        <f t="shared" si="19"/>
        <v>0</v>
      </c>
      <c r="L184" s="2">
        <f t="shared" si="20"/>
        <v>0</v>
      </c>
      <c r="M184" s="9"/>
    </row>
    <row r="185" spans="1:13" ht="18.75">
      <c r="A185" s="8" t="s">
        <v>51</v>
      </c>
      <c r="B185" s="21">
        <v>121</v>
      </c>
      <c r="C185" s="22">
        <f t="shared" si="21"/>
        <v>0</v>
      </c>
      <c r="D185" s="22">
        <f t="shared" si="22"/>
        <v>0</v>
      </c>
      <c r="E185" s="22">
        <f t="shared" si="23"/>
        <v>0</v>
      </c>
      <c r="F185" s="22">
        <v>0</v>
      </c>
      <c r="G185" s="22">
        <f>IF(B185&gt;G$24*G$27+G$33,0,(SUM(D$65:D184)*((1+G$22/G$23)^((B185-G$33)/(12/G$23))-1))-SUM(G$64:G184))</f>
        <v>0</v>
      </c>
      <c r="H185" s="2"/>
      <c r="K185" s="2">
        <f t="shared" si="19"/>
        <v>0</v>
      </c>
      <c r="L185" s="2">
        <f t="shared" si="20"/>
        <v>0</v>
      </c>
      <c r="M185" s="9"/>
    </row>
    <row r="186" spans="1:13" ht="18.75">
      <c r="A186" s="8" t="s">
        <v>72</v>
      </c>
      <c r="B186" s="21">
        <v>122</v>
      </c>
      <c r="C186" s="22">
        <f t="shared" si="21"/>
        <v>0</v>
      </c>
      <c r="D186" s="22">
        <f t="shared" si="22"/>
        <v>0</v>
      </c>
      <c r="E186" s="22">
        <f t="shared" si="23"/>
        <v>0</v>
      </c>
      <c r="F186" s="22">
        <v>0</v>
      </c>
      <c r="G186" s="22">
        <f>IF(B186&gt;G$24*G$27+G$33,0,(SUM(D$65:D185)*((1+G$22/G$23)^((B186-G$33)/(12/G$23))-1))-SUM(G$64:G185))</f>
        <v>0</v>
      </c>
      <c r="H186" s="2"/>
      <c r="K186" s="2">
        <f t="shared" si="19"/>
        <v>0</v>
      </c>
      <c r="L186" s="2">
        <f t="shared" si="20"/>
        <v>0</v>
      </c>
      <c r="M186" s="9"/>
    </row>
    <row r="187" spans="1:13" ht="18.75">
      <c r="A187" s="8" t="s">
        <v>52</v>
      </c>
      <c r="B187" s="21">
        <v>123</v>
      </c>
      <c r="C187" s="22">
        <f t="shared" si="21"/>
        <v>0</v>
      </c>
      <c r="D187" s="22">
        <f t="shared" si="22"/>
        <v>0</v>
      </c>
      <c r="E187" s="22">
        <f t="shared" si="23"/>
        <v>0</v>
      </c>
      <c r="F187" s="22">
        <v>0</v>
      </c>
      <c r="G187" s="22">
        <f>IF(B187&gt;G$24*G$27+G$33,0,(SUM(D$65:D186)*((1+G$22/G$23)^((B187-G$33)/(12/G$23))-1))-SUM(G$64:G186))</f>
        <v>0</v>
      </c>
      <c r="H187" s="2"/>
      <c r="J187" s="2">
        <f>I196*G$34*0.15</f>
        <v>0</v>
      </c>
      <c r="K187" s="2">
        <f t="shared" si="19"/>
        <v>0</v>
      </c>
      <c r="L187" s="2">
        <f t="shared" si="20"/>
        <v>0</v>
      </c>
      <c r="M187" s="9"/>
    </row>
    <row r="188" spans="1:13" ht="18.75">
      <c r="A188" s="8" t="s">
        <v>73</v>
      </c>
      <c r="B188" s="21">
        <v>124</v>
      </c>
      <c r="C188" s="22">
        <f t="shared" si="21"/>
        <v>0</v>
      </c>
      <c r="D188" s="22">
        <f t="shared" si="22"/>
        <v>0</v>
      </c>
      <c r="E188" s="22">
        <f t="shared" si="23"/>
        <v>0</v>
      </c>
      <c r="F188" s="22">
        <v>0</v>
      </c>
      <c r="G188" s="22">
        <f>IF(B188&gt;G$24*G$27+G$33,0,(SUM(D$65:D187)*((1+G$22/G$23)^((B188-G$33)/(12/G$23))-1))-SUM(G$64:G187))</f>
        <v>0</v>
      </c>
      <c r="H188" s="2"/>
      <c r="K188" s="2">
        <f t="shared" si="19"/>
        <v>0</v>
      </c>
      <c r="L188" s="2">
        <f t="shared" si="20"/>
        <v>0</v>
      </c>
      <c r="M188" s="9"/>
    </row>
    <row r="189" spans="1:13" ht="18.75">
      <c r="A189" s="8" t="s">
        <v>53</v>
      </c>
      <c r="B189" s="21">
        <v>125</v>
      </c>
      <c r="C189" s="22">
        <f t="shared" si="21"/>
        <v>0</v>
      </c>
      <c r="D189" s="22">
        <f t="shared" si="22"/>
        <v>0</v>
      </c>
      <c r="E189" s="22">
        <f t="shared" si="23"/>
        <v>0</v>
      </c>
      <c r="F189" s="22">
        <v>0</v>
      </c>
      <c r="G189" s="22">
        <f>IF(B189&gt;G$24*G$27+G$33,0,(SUM(D$65:D188)*((1+G$22/G$23)^((B189-G$33)/(12/G$23))-1))-SUM(G$64:G188))</f>
        <v>0</v>
      </c>
      <c r="H189" s="2"/>
      <c r="K189" s="2">
        <f t="shared" si="19"/>
        <v>0</v>
      </c>
      <c r="L189" s="2">
        <f t="shared" si="20"/>
        <v>0</v>
      </c>
      <c r="M189" s="9"/>
    </row>
    <row r="190" spans="1:13" ht="18.75">
      <c r="A190" s="8" t="s">
        <v>54</v>
      </c>
      <c r="B190" s="21">
        <v>126</v>
      </c>
      <c r="C190" s="22">
        <f t="shared" si="21"/>
        <v>0</v>
      </c>
      <c r="D190" s="22">
        <f t="shared" si="22"/>
        <v>0</v>
      </c>
      <c r="E190" s="22">
        <f t="shared" si="23"/>
        <v>0</v>
      </c>
      <c r="F190" s="22">
        <v>0</v>
      </c>
      <c r="G190" s="22">
        <f>IF(B190&gt;G$24*G$27+G$33,0,(SUM(D$65:D189)*((1+G$22/G$23)^((B190-G$33)/(12/G$23))-1))-SUM(G$64:G189))</f>
        <v>0</v>
      </c>
      <c r="H190" s="2"/>
      <c r="J190" s="2">
        <f>I196*$G$34*0.3</f>
        <v>0</v>
      </c>
      <c r="K190" s="2">
        <f t="shared" si="19"/>
        <v>0</v>
      </c>
      <c r="L190" s="2">
        <f t="shared" si="20"/>
        <v>0</v>
      </c>
      <c r="M190" s="9"/>
    </row>
    <row r="191" spans="1:13" ht="18.75">
      <c r="A191" s="8" t="s">
        <v>74</v>
      </c>
      <c r="B191" s="21">
        <v>127</v>
      </c>
      <c r="C191" s="22">
        <f t="shared" si="21"/>
        <v>0</v>
      </c>
      <c r="D191" s="22">
        <f t="shared" si="22"/>
        <v>0</v>
      </c>
      <c r="E191" s="22">
        <f t="shared" si="23"/>
        <v>0</v>
      </c>
      <c r="F191" s="22">
        <v>0</v>
      </c>
      <c r="G191" s="22">
        <f>IF(B191&gt;G$24*G$27+G$33,0,(SUM(D$65:D190)*((1+G$22/G$23)^((B191-G$33)/(12/G$23))-1))-SUM(G$64:G190))</f>
        <v>0</v>
      </c>
      <c r="H191" s="2"/>
      <c r="K191" s="2">
        <f t="shared" si="19"/>
        <v>0</v>
      </c>
      <c r="L191" s="2">
        <f t="shared" si="20"/>
        <v>0</v>
      </c>
      <c r="M191" s="9"/>
    </row>
    <row r="192" spans="1:13" ht="18.75">
      <c r="A192" s="8" t="s">
        <v>75</v>
      </c>
      <c r="B192" s="21">
        <v>128</v>
      </c>
      <c r="C192" s="22">
        <f t="shared" si="21"/>
        <v>0</v>
      </c>
      <c r="D192" s="22">
        <f t="shared" si="22"/>
        <v>0</v>
      </c>
      <c r="E192" s="22">
        <f t="shared" si="23"/>
        <v>0</v>
      </c>
      <c r="F192" s="22">
        <v>0</v>
      </c>
      <c r="G192" s="22">
        <f>IF(B192&gt;G$24*G$27+G$33,0,(SUM(D$65:D191)*((1+G$22/G$23)^((B192-G$33)/(12/G$23))-1))-SUM(G$64:G191))</f>
        <v>0</v>
      </c>
      <c r="H192" s="2"/>
      <c r="K192" s="2">
        <f t="shared" si="19"/>
        <v>0</v>
      </c>
      <c r="L192" s="2">
        <f t="shared" si="20"/>
        <v>0</v>
      </c>
      <c r="M192" s="9"/>
    </row>
    <row r="193" spans="1:13" ht="18.75">
      <c r="A193" s="8" t="s">
        <v>55</v>
      </c>
      <c r="B193" s="21">
        <v>129</v>
      </c>
      <c r="C193" s="22">
        <f t="shared" si="21"/>
        <v>0</v>
      </c>
      <c r="D193" s="22">
        <f t="shared" si="22"/>
        <v>0</v>
      </c>
      <c r="E193" s="22">
        <f t="shared" si="23"/>
        <v>0</v>
      </c>
      <c r="F193" s="22">
        <v>0</v>
      </c>
      <c r="G193" s="22">
        <f>IF(B193&gt;G$24*G$27+G$33,0,(SUM(D$65:D192)*((1+G$22/G$23)^((B193-G$33)/(12/G$23))-1))-SUM(G$64:G192))</f>
        <v>0</v>
      </c>
      <c r="H193" s="2"/>
      <c r="J193" s="2">
        <f>I196*$G$34*0.3</f>
        <v>0</v>
      </c>
      <c r="K193" s="2">
        <f aca="true" t="shared" si="24" ref="K193:K224">C193+D193+E193</f>
        <v>0</v>
      </c>
      <c r="L193" s="2">
        <f t="shared" si="20"/>
        <v>0</v>
      </c>
      <c r="M193" s="9"/>
    </row>
    <row r="194" spans="1:13" ht="18.75">
      <c r="A194" s="8" t="s">
        <v>49</v>
      </c>
      <c r="B194" s="21">
        <v>130</v>
      </c>
      <c r="C194" s="22">
        <f t="shared" si="21"/>
        <v>0</v>
      </c>
      <c r="D194" s="22">
        <f t="shared" si="22"/>
        <v>0</v>
      </c>
      <c r="E194" s="22">
        <f t="shared" si="23"/>
        <v>0</v>
      </c>
      <c r="F194" s="22">
        <v>0</v>
      </c>
      <c r="G194" s="22">
        <f>IF(B194&gt;G$24*G$27+G$33,0,(SUM(D$65:D193)*((1+G$22/G$23)^((B194-G$33)/(12/G$23))-1))-SUM(G$64:G193))</f>
        <v>0</v>
      </c>
      <c r="H194" s="2"/>
      <c r="K194" s="2">
        <f t="shared" si="24"/>
        <v>0</v>
      </c>
      <c r="L194" s="2">
        <f t="shared" si="20"/>
        <v>0</v>
      </c>
      <c r="M194" s="9"/>
    </row>
    <row r="195" spans="1:13" ht="18.75">
      <c r="A195" s="8" t="s">
        <v>76</v>
      </c>
      <c r="B195" s="21">
        <v>131</v>
      </c>
      <c r="C195" s="22">
        <f t="shared" si="21"/>
        <v>0</v>
      </c>
      <c r="D195" s="22">
        <f t="shared" si="22"/>
        <v>0</v>
      </c>
      <c r="E195" s="22">
        <f t="shared" si="23"/>
        <v>0</v>
      </c>
      <c r="F195" s="22">
        <v>0</v>
      </c>
      <c r="G195" s="22">
        <f>IF(B195&gt;G$24*G$27+G$33,0,(SUM(D$65:D194)*((1+G$22/G$23)^((B195-G$33)/(12/G$23))-1))-SUM(G$64:G194))</f>
        <v>0</v>
      </c>
      <c r="H195" s="2"/>
      <c r="K195" s="2">
        <f t="shared" si="24"/>
        <v>0</v>
      </c>
      <c r="L195" s="2">
        <f t="shared" si="20"/>
        <v>0</v>
      </c>
      <c r="M195" s="9"/>
    </row>
    <row r="196" spans="1:12" ht="18.75">
      <c r="A196" s="8" t="s">
        <v>50</v>
      </c>
      <c r="B196" s="21">
        <v>132</v>
      </c>
      <c r="C196" s="22">
        <f t="shared" si="21"/>
        <v>0</v>
      </c>
      <c r="D196" s="22">
        <f t="shared" si="22"/>
        <v>0</v>
      </c>
      <c r="E196" s="22">
        <f t="shared" si="23"/>
        <v>0</v>
      </c>
      <c r="F196" s="23">
        <f>IF(B196&lt;(G$24+G$25)*G$27+G$33,($G$19-SUM(F$62:F195)-SUM(C$77:C196))*$G$31,G$19-SUM(F$62:F195)-SUM(C$77:C196)*1)</f>
        <v>0</v>
      </c>
      <c r="G196" s="22">
        <f>IF(B196&gt;G$24*G$27+G$33,0,(SUM(D$65:D195)*((1+G$22/G$23)^((B196-G$33)/(12/G$23))-1))-SUM(G$64:G195))</f>
        <v>0</v>
      </c>
      <c r="H196" s="2"/>
      <c r="I196" s="2">
        <f>SUM(E185:E196)-F196-SUM(G185:G196)</f>
        <v>0</v>
      </c>
      <c r="J196" s="2">
        <f>I196*$G$34*0.25</f>
        <v>0</v>
      </c>
      <c r="K196" s="2">
        <f t="shared" si="24"/>
        <v>0</v>
      </c>
      <c r="L196" s="2">
        <f t="shared" si="20"/>
        <v>0</v>
      </c>
    </row>
    <row r="197" spans="1:12" ht="18.75">
      <c r="A197" s="8" t="s">
        <v>51</v>
      </c>
      <c r="B197" s="21">
        <f aca="true" t="shared" si="25" ref="B197:B244">B196+1</f>
        <v>133</v>
      </c>
      <c r="C197" s="22">
        <f t="shared" si="21"/>
        <v>0</v>
      </c>
      <c r="D197" s="22">
        <f t="shared" si="22"/>
        <v>0</v>
      </c>
      <c r="E197" s="22">
        <f t="shared" si="23"/>
        <v>0</v>
      </c>
      <c r="F197" s="22">
        <v>0</v>
      </c>
      <c r="G197" s="22">
        <f>IF(B197&gt;G$24*G$27+G$33,0,(SUM(D$65:D196)*((1+G$22/G$23)^((B197-G$33)/(12/G$23))-1))-SUM(G$64:G196))</f>
        <v>0</v>
      </c>
      <c r="H197" s="2"/>
      <c r="K197" s="2">
        <f t="shared" si="24"/>
        <v>0</v>
      </c>
      <c r="L197" s="2">
        <f t="shared" si="20"/>
        <v>0</v>
      </c>
    </row>
    <row r="198" spans="1:12" ht="18.75">
      <c r="A198" s="8" t="s">
        <v>72</v>
      </c>
      <c r="B198" s="21">
        <f t="shared" si="25"/>
        <v>134</v>
      </c>
      <c r="C198" s="22">
        <f t="shared" si="21"/>
        <v>0</v>
      </c>
      <c r="D198" s="22">
        <f t="shared" si="22"/>
        <v>0</v>
      </c>
      <c r="E198" s="22">
        <f t="shared" si="23"/>
        <v>0</v>
      </c>
      <c r="F198" s="22">
        <v>0</v>
      </c>
      <c r="G198" s="22">
        <f>IF(B198&gt;G$24*G$27+G$33,0,(SUM(D$65:D197)*((1+G$22/G$23)^((B198-G$33)/(12/G$23))-1))-SUM(G$64:G197))</f>
        <v>0</v>
      </c>
      <c r="H198" s="2"/>
      <c r="K198" s="2">
        <f t="shared" si="24"/>
        <v>0</v>
      </c>
      <c r="L198" s="2">
        <f t="shared" si="20"/>
        <v>0</v>
      </c>
    </row>
    <row r="199" spans="1:12" ht="18.75">
      <c r="A199" s="8" t="s">
        <v>52</v>
      </c>
      <c r="B199" s="21">
        <f t="shared" si="25"/>
        <v>135</v>
      </c>
      <c r="C199" s="22">
        <f t="shared" si="21"/>
        <v>0</v>
      </c>
      <c r="D199" s="22">
        <f t="shared" si="22"/>
        <v>0</v>
      </c>
      <c r="E199" s="22">
        <f t="shared" si="23"/>
        <v>0</v>
      </c>
      <c r="F199" s="22">
        <v>0</v>
      </c>
      <c r="G199" s="22">
        <f>IF(B199&gt;G$24*G$27+G$33,0,(SUM(D$65:D198)*((1+G$22/G$23)^((B199-G$33)/(12/G$23))-1))-SUM(G$64:G198))</f>
        <v>0</v>
      </c>
      <c r="H199" s="2"/>
      <c r="J199" s="2">
        <f>I208*G$34*0.15</f>
        <v>0</v>
      </c>
      <c r="K199" s="2">
        <f t="shared" si="24"/>
        <v>0</v>
      </c>
      <c r="L199" s="2">
        <f t="shared" si="20"/>
        <v>0</v>
      </c>
    </row>
    <row r="200" spans="1:12" ht="18.75">
      <c r="A200" s="8" t="s">
        <v>73</v>
      </c>
      <c r="B200" s="21">
        <f t="shared" si="25"/>
        <v>136</v>
      </c>
      <c r="C200" s="22">
        <f t="shared" si="21"/>
        <v>0</v>
      </c>
      <c r="D200" s="22">
        <f t="shared" si="22"/>
        <v>0</v>
      </c>
      <c r="E200" s="22">
        <f t="shared" si="23"/>
        <v>0</v>
      </c>
      <c r="F200" s="22">
        <v>0</v>
      </c>
      <c r="G200" s="22">
        <f>IF(B200&gt;G$24*G$27+G$33,0,(SUM(D$65:D199)*((1+G$22/G$23)^((B200-G$33)/(12/G$23))-1))-SUM(G$64:G199))</f>
        <v>0</v>
      </c>
      <c r="H200" s="2"/>
      <c r="K200" s="2">
        <f t="shared" si="24"/>
        <v>0</v>
      </c>
      <c r="L200" s="2">
        <f t="shared" si="20"/>
        <v>0</v>
      </c>
    </row>
    <row r="201" spans="1:12" ht="18.75">
      <c r="A201" s="8" t="s">
        <v>53</v>
      </c>
      <c r="B201" s="21">
        <f t="shared" si="25"/>
        <v>137</v>
      </c>
      <c r="C201" s="22">
        <f t="shared" si="21"/>
        <v>0</v>
      </c>
      <c r="D201" s="22">
        <f t="shared" si="22"/>
        <v>0</v>
      </c>
      <c r="E201" s="22">
        <f t="shared" si="23"/>
        <v>0</v>
      </c>
      <c r="F201" s="22">
        <v>0</v>
      </c>
      <c r="G201" s="22">
        <f>IF(B201&gt;G$24*G$27+G$33,0,(SUM(D$65:D200)*((1+G$22/G$23)^((B201-G$33)/(12/G$23))-1))-SUM(G$64:G200))</f>
        <v>0</v>
      </c>
      <c r="H201" s="2"/>
      <c r="K201" s="2">
        <f t="shared" si="24"/>
        <v>0</v>
      </c>
      <c r="L201" s="2">
        <f t="shared" si="20"/>
        <v>0</v>
      </c>
    </row>
    <row r="202" spans="1:12" ht="18.75">
      <c r="A202" s="8" t="s">
        <v>54</v>
      </c>
      <c r="B202" s="21">
        <f t="shared" si="25"/>
        <v>138</v>
      </c>
      <c r="C202" s="22">
        <f t="shared" si="21"/>
        <v>0</v>
      </c>
      <c r="D202" s="22">
        <f t="shared" si="22"/>
        <v>0</v>
      </c>
      <c r="E202" s="22">
        <f t="shared" si="23"/>
        <v>0</v>
      </c>
      <c r="F202" s="22">
        <v>0</v>
      </c>
      <c r="G202" s="22">
        <f>IF(B202&gt;G$24*G$27+G$33,0,(SUM(D$65:D201)*((1+G$22/G$23)^((B202-G$33)/(12/G$23))-1))-SUM(G$64:G201))</f>
        <v>0</v>
      </c>
      <c r="H202" s="2"/>
      <c r="J202" s="2">
        <f>I208*$G$34*0.3</f>
        <v>0</v>
      </c>
      <c r="K202" s="2">
        <f t="shared" si="24"/>
        <v>0</v>
      </c>
      <c r="L202" s="2">
        <f aca="true" t="shared" si="26" ref="L202:L233">C202+E202-J202+D202</f>
        <v>0</v>
      </c>
    </row>
    <row r="203" spans="1:12" ht="18.75">
      <c r="A203" s="8" t="s">
        <v>74</v>
      </c>
      <c r="B203" s="21">
        <f t="shared" si="25"/>
        <v>139</v>
      </c>
      <c r="C203" s="22">
        <f t="shared" si="21"/>
        <v>0</v>
      </c>
      <c r="D203" s="22">
        <f t="shared" si="22"/>
        <v>0</v>
      </c>
      <c r="E203" s="22">
        <f t="shared" si="23"/>
        <v>0</v>
      </c>
      <c r="F203" s="22">
        <v>0</v>
      </c>
      <c r="G203" s="22">
        <f>IF(B203&gt;G$24*G$27+G$33,0,(SUM(D$65:D202)*((1+G$22/G$23)^((B203-G$33)/(12/G$23))-1))-SUM(G$64:G202))</f>
        <v>0</v>
      </c>
      <c r="H203" s="2"/>
      <c r="K203" s="2">
        <f t="shared" si="24"/>
        <v>0</v>
      </c>
      <c r="L203" s="2">
        <f t="shared" si="26"/>
        <v>0</v>
      </c>
    </row>
    <row r="204" spans="1:12" ht="18.75">
      <c r="A204" s="8" t="s">
        <v>75</v>
      </c>
      <c r="B204" s="21">
        <f t="shared" si="25"/>
        <v>140</v>
      </c>
      <c r="C204" s="22">
        <f t="shared" si="21"/>
        <v>0</v>
      </c>
      <c r="D204" s="22">
        <f t="shared" si="22"/>
        <v>0</v>
      </c>
      <c r="E204" s="22">
        <f t="shared" si="23"/>
        <v>0</v>
      </c>
      <c r="F204" s="22">
        <v>0</v>
      </c>
      <c r="G204" s="22">
        <f>IF(B204&gt;G$24*G$27+G$33,0,(SUM(D$65:D203)*((1+G$22/G$23)^((B204-G$33)/(12/G$23))-1))-SUM(G$64:G203))</f>
        <v>0</v>
      </c>
      <c r="H204" s="2"/>
      <c r="K204" s="2">
        <f t="shared" si="24"/>
        <v>0</v>
      </c>
      <c r="L204" s="2">
        <f t="shared" si="26"/>
        <v>0</v>
      </c>
    </row>
    <row r="205" spans="1:12" ht="18.75">
      <c r="A205" s="8" t="s">
        <v>55</v>
      </c>
      <c r="B205" s="21">
        <f t="shared" si="25"/>
        <v>141</v>
      </c>
      <c r="C205" s="22">
        <f aca="true" t="shared" si="27" ref="C205:C236">IF(B205=(G$24)*G$27+G$33,G$19*G$29,0)</f>
        <v>0</v>
      </c>
      <c r="D205" s="22">
        <f aca="true" t="shared" si="28" ref="D205:D236">IF(B205=($G$24)*G$27+G$33,-G$19*G$21*((1+G$22/G$23)^(G$24*G$23)),0)</f>
        <v>0</v>
      </c>
      <c r="E205" s="22">
        <f aca="true" t="shared" si="29" ref="E205:E236">IF(B205&lt;$G$33,0,IF(B205&lt;=G$24*G$27+$G$33-1,+(G$17*12/G$27),0))</f>
        <v>0</v>
      </c>
      <c r="F205" s="22">
        <v>0</v>
      </c>
      <c r="G205" s="22">
        <f>IF(B205&gt;G$24*G$27+G$33,0,(SUM(D$65:D204)*((1+G$22/G$23)^((B205-G$33)/(12/G$23))-1))-SUM(G$64:G204))</f>
        <v>0</v>
      </c>
      <c r="H205" s="2"/>
      <c r="J205" s="2">
        <f>I208*$G$34*0.3</f>
        <v>0</v>
      </c>
      <c r="K205" s="2">
        <f t="shared" si="24"/>
        <v>0</v>
      </c>
      <c r="L205" s="2">
        <f t="shared" si="26"/>
        <v>0</v>
      </c>
    </row>
    <row r="206" spans="1:12" ht="18.75">
      <c r="A206" s="8" t="s">
        <v>49</v>
      </c>
      <c r="B206" s="21">
        <f t="shared" si="25"/>
        <v>142</v>
      </c>
      <c r="C206" s="22">
        <f t="shared" si="27"/>
        <v>0</v>
      </c>
      <c r="D206" s="22">
        <f t="shared" si="28"/>
        <v>0</v>
      </c>
      <c r="E206" s="22">
        <f t="shared" si="29"/>
        <v>0</v>
      </c>
      <c r="F206" s="22">
        <v>0</v>
      </c>
      <c r="G206" s="22">
        <f>IF(B206&gt;G$24*G$27+G$33,0,(SUM(D$65:D205)*((1+G$22/G$23)^((B206-G$33)/(12/G$23))-1))-SUM(G$64:G205))</f>
        <v>0</v>
      </c>
      <c r="H206" s="2"/>
      <c r="K206" s="2">
        <f t="shared" si="24"/>
        <v>0</v>
      </c>
      <c r="L206" s="2">
        <f t="shared" si="26"/>
        <v>0</v>
      </c>
    </row>
    <row r="207" spans="1:12" ht="18.75">
      <c r="A207" s="8" t="s">
        <v>76</v>
      </c>
      <c r="B207" s="21">
        <f t="shared" si="25"/>
        <v>143</v>
      </c>
      <c r="C207" s="22">
        <f t="shared" si="27"/>
        <v>0</v>
      </c>
      <c r="D207" s="22">
        <f t="shared" si="28"/>
        <v>0</v>
      </c>
      <c r="E207" s="22">
        <f t="shared" si="29"/>
        <v>0</v>
      </c>
      <c r="F207" s="22">
        <v>0</v>
      </c>
      <c r="G207" s="22">
        <f>IF(B207&gt;G$24*G$27+G$33,0,(SUM(D$65:D206)*((1+G$22/G$23)^((B207-G$33)/(12/G$23))-1))-SUM(G$64:G206))</f>
        <v>0</v>
      </c>
      <c r="H207" s="2"/>
      <c r="K207" s="2">
        <f t="shared" si="24"/>
        <v>0</v>
      </c>
      <c r="L207" s="2">
        <f t="shared" si="26"/>
        <v>0</v>
      </c>
    </row>
    <row r="208" spans="1:12" ht="18.75">
      <c r="A208" s="8" t="s">
        <v>50</v>
      </c>
      <c r="B208" s="21">
        <f t="shared" si="25"/>
        <v>144</v>
      </c>
      <c r="C208" s="22">
        <f t="shared" si="27"/>
        <v>0</v>
      </c>
      <c r="D208" s="22">
        <f t="shared" si="28"/>
        <v>0</v>
      </c>
      <c r="E208" s="22">
        <f t="shared" si="29"/>
        <v>0</v>
      </c>
      <c r="F208" s="23">
        <f>IF(B208&lt;(G$24+G$25)*G$27+G$33,($G$19-SUM(F$62:F207)-SUM(C$77:C208))*$G$31,G$19-SUM(F$62:F207)-SUM(C$77:C208)*1)</f>
        <v>0</v>
      </c>
      <c r="G208" s="22">
        <f>IF(B208&gt;G$24*G$27+G$33,0,(SUM(D$65:D207)*((1+G$22/G$23)^((B208-G$33)/(12/G$23))-1))-SUM(G$64:G207))</f>
        <v>0</v>
      </c>
      <c r="H208" s="2"/>
      <c r="I208" s="2">
        <f>SUM(E197:E208)-F208-SUM(G197:G208)</f>
        <v>0</v>
      </c>
      <c r="J208" s="2">
        <f>I208*$G$34*0.25</f>
        <v>0</v>
      </c>
      <c r="K208" s="2">
        <f t="shared" si="24"/>
        <v>0</v>
      </c>
      <c r="L208" s="2">
        <f t="shared" si="26"/>
        <v>0</v>
      </c>
    </row>
    <row r="209" spans="1:12" ht="18.75">
      <c r="A209" s="8" t="s">
        <v>51</v>
      </c>
      <c r="B209" s="21">
        <f t="shared" si="25"/>
        <v>145</v>
      </c>
      <c r="C209" s="22">
        <f t="shared" si="27"/>
        <v>0</v>
      </c>
      <c r="D209" s="22">
        <f t="shared" si="28"/>
        <v>0</v>
      </c>
      <c r="E209" s="22">
        <f t="shared" si="29"/>
        <v>0</v>
      </c>
      <c r="F209" s="22">
        <v>0</v>
      </c>
      <c r="G209" s="22">
        <f>IF(B209&gt;G$24*G$27+G$33,0,(SUM(D$65:D208)*((1+G$22/G$23)^((B209-G$33)/(12/G$23))-1))-SUM(G$64:G208))</f>
        <v>0</v>
      </c>
      <c r="H209" s="2"/>
      <c r="K209" s="2">
        <f t="shared" si="24"/>
        <v>0</v>
      </c>
      <c r="L209" s="2">
        <f t="shared" si="26"/>
        <v>0</v>
      </c>
    </row>
    <row r="210" spans="1:12" ht="18.75">
      <c r="A210" s="8" t="s">
        <v>72</v>
      </c>
      <c r="B210" s="21">
        <f t="shared" si="25"/>
        <v>146</v>
      </c>
      <c r="C210" s="22">
        <f t="shared" si="27"/>
        <v>0</v>
      </c>
      <c r="D210" s="22">
        <f t="shared" si="28"/>
        <v>0</v>
      </c>
      <c r="E210" s="22">
        <f t="shared" si="29"/>
        <v>0</v>
      </c>
      <c r="F210" s="22">
        <v>0</v>
      </c>
      <c r="G210" s="22">
        <f>IF(B210&gt;G$24*G$27+G$33,0,(SUM(D$65:D209)*((1+G$22/G$23)^((B210-G$33)/(12/G$23))-1))-SUM(G$64:G209))</f>
        <v>0</v>
      </c>
      <c r="H210" s="2"/>
      <c r="K210" s="2">
        <f t="shared" si="24"/>
        <v>0</v>
      </c>
      <c r="L210" s="2">
        <f t="shared" si="26"/>
        <v>0</v>
      </c>
    </row>
    <row r="211" spans="1:12" ht="18.75">
      <c r="A211" s="8" t="s">
        <v>52</v>
      </c>
      <c r="B211" s="21">
        <f t="shared" si="25"/>
        <v>147</v>
      </c>
      <c r="C211" s="22">
        <f t="shared" si="27"/>
        <v>0</v>
      </c>
      <c r="D211" s="22">
        <f t="shared" si="28"/>
        <v>0</v>
      </c>
      <c r="E211" s="22">
        <f t="shared" si="29"/>
        <v>0</v>
      </c>
      <c r="F211" s="22">
        <v>0</v>
      </c>
      <c r="G211" s="22">
        <f>IF(B211&gt;G$24*G$27+G$33,0,(SUM(D$65:D210)*((1+G$22/G$23)^((B211-G$33)/(12/G$23))-1))-SUM(G$64:G210))</f>
        <v>0</v>
      </c>
      <c r="H211" s="2"/>
      <c r="J211" s="2">
        <f>I220*G$34*0.15</f>
        <v>0</v>
      </c>
      <c r="K211" s="2">
        <f t="shared" si="24"/>
        <v>0</v>
      </c>
      <c r="L211" s="2">
        <f t="shared" si="26"/>
        <v>0</v>
      </c>
    </row>
    <row r="212" spans="1:12" ht="18.75">
      <c r="A212" s="8" t="s">
        <v>73</v>
      </c>
      <c r="B212" s="21">
        <f t="shared" si="25"/>
        <v>148</v>
      </c>
      <c r="C212" s="22">
        <f t="shared" si="27"/>
        <v>0</v>
      </c>
      <c r="D212" s="22">
        <f t="shared" si="28"/>
        <v>0</v>
      </c>
      <c r="E212" s="22">
        <f t="shared" si="29"/>
        <v>0</v>
      </c>
      <c r="F212" s="22">
        <v>0</v>
      </c>
      <c r="G212" s="22">
        <f>IF(B212&gt;G$24*G$27+G$33,0,(SUM(D$65:D211)*((1+G$22/G$23)^((B212-G$33)/(12/G$23))-1))-SUM(G$64:G211))</f>
        <v>0</v>
      </c>
      <c r="H212" s="2"/>
      <c r="K212" s="2">
        <f t="shared" si="24"/>
        <v>0</v>
      </c>
      <c r="L212" s="2">
        <f t="shared" si="26"/>
        <v>0</v>
      </c>
    </row>
    <row r="213" spans="1:12" ht="18.75">
      <c r="A213" s="8" t="s">
        <v>53</v>
      </c>
      <c r="B213" s="21">
        <f t="shared" si="25"/>
        <v>149</v>
      </c>
      <c r="C213" s="22">
        <f t="shared" si="27"/>
        <v>0</v>
      </c>
      <c r="D213" s="22">
        <f t="shared" si="28"/>
        <v>0</v>
      </c>
      <c r="E213" s="22">
        <f t="shared" si="29"/>
        <v>0</v>
      </c>
      <c r="F213" s="22">
        <v>0</v>
      </c>
      <c r="G213" s="22">
        <f>IF(B213&gt;G$24*G$27+G$33,0,(SUM(D$65:D212)*((1+G$22/G$23)^((B213-G$33)/(12/G$23))-1))-SUM(G$64:G212))</f>
        <v>0</v>
      </c>
      <c r="H213" s="2"/>
      <c r="K213" s="2">
        <f t="shared" si="24"/>
        <v>0</v>
      </c>
      <c r="L213" s="2">
        <f t="shared" si="26"/>
        <v>0</v>
      </c>
    </row>
    <row r="214" spans="1:12" ht="18.75">
      <c r="A214" s="8" t="s">
        <v>54</v>
      </c>
      <c r="B214" s="21">
        <f t="shared" si="25"/>
        <v>150</v>
      </c>
      <c r="C214" s="22">
        <f t="shared" si="27"/>
        <v>0</v>
      </c>
      <c r="D214" s="22">
        <f t="shared" si="28"/>
        <v>0</v>
      </c>
      <c r="E214" s="22">
        <f t="shared" si="29"/>
        <v>0</v>
      </c>
      <c r="F214" s="22">
        <v>0</v>
      </c>
      <c r="G214" s="22">
        <f>IF(B214&gt;G$24*G$27+G$33,0,(SUM(D$65:D213)*((1+G$22/G$23)^((B214-G$33)/(12/G$23))-1))-SUM(G$64:G213))</f>
        <v>0</v>
      </c>
      <c r="H214" s="2"/>
      <c r="J214" s="2">
        <f>I220*$G$34*0.3</f>
        <v>0</v>
      </c>
      <c r="K214" s="2">
        <f t="shared" si="24"/>
        <v>0</v>
      </c>
      <c r="L214" s="2">
        <f t="shared" si="26"/>
        <v>0</v>
      </c>
    </row>
    <row r="215" spans="1:12" ht="18.75">
      <c r="A215" s="8" t="s">
        <v>74</v>
      </c>
      <c r="B215" s="21">
        <f t="shared" si="25"/>
        <v>151</v>
      </c>
      <c r="C215" s="22">
        <f t="shared" si="27"/>
        <v>0</v>
      </c>
      <c r="D215" s="22">
        <f t="shared" si="28"/>
        <v>0</v>
      </c>
      <c r="E215" s="22">
        <f t="shared" si="29"/>
        <v>0</v>
      </c>
      <c r="F215" s="22">
        <v>0</v>
      </c>
      <c r="G215" s="22">
        <f>IF(B215&gt;G$24*G$27+G$33,0,(SUM(D$65:D214)*((1+G$22/G$23)^((B215-G$33)/(12/G$23))-1))-SUM(G$64:G214))</f>
        <v>0</v>
      </c>
      <c r="H215" s="2"/>
      <c r="K215" s="2">
        <f t="shared" si="24"/>
        <v>0</v>
      </c>
      <c r="L215" s="2">
        <f t="shared" si="26"/>
        <v>0</v>
      </c>
    </row>
    <row r="216" spans="1:12" ht="18.75">
      <c r="A216" s="8" t="s">
        <v>75</v>
      </c>
      <c r="B216" s="21">
        <f t="shared" si="25"/>
        <v>152</v>
      </c>
      <c r="C216" s="22">
        <f t="shared" si="27"/>
        <v>0</v>
      </c>
      <c r="D216" s="22">
        <f t="shared" si="28"/>
        <v>0</v>
      </c>
      <c r="E216" s="22">
        <f t="shared" si="29"/>
        <v>0</v>
      </c>
      <c r="F216" s="22">
        <v>0</v>
      </c>
      <c r="G216" s="22">
        <f>IF(B216&gt;G$24*G$27+G$33,0,(SUM(D$65:D215)*((1+G$22/G$23)^((B216-G$33)/(12/G$23))-1))-SUM(G$64:G215))</f>
        <v>0</v>
      </c>
      <c r="H216" s="2"/>
      <c r="K216" s="2">
        <f t="shared" si="24"/>
        <v>0</v>
      </c>
      <c r="L216" s="2">
        <f t="shared" si="26"/>
        <v>0</v>
      </c>
    </row>
    <row r="217" spans="1:12" ht="18.75">
      <c r="A217" s="8" t="s">
        <v>55</v>
      </c>
      <c r="B217" s="21">
        <f t="shared" si="25"/>
        <v>153</v>
      </c>
      <c r="C217" s="22">
        <f t="shared" si="27"/>
        <v>0</v>
      </c>
      <c r="D217" s="22">
        <f t="shared" si="28"/>
        <v>0</v>
      </c>
      <c r="E217" s="22">
        <f t="shared" si="29"/>
        <v>0</v>
      </c>
      <c r="F217" s="22">
        <v>0</v>
      </c>
      <c r="G217" s="22">
        <f>IF(B217&gt;G$24*G$27+G$33,0,(SUM(D$65:D216)*((1+G$22/G$23)^((B217-G$33)/(12/G$23))-1))-SUM(G$64:G216))</f>
        <v>0</v>
      </c>
      <c r="H217" s="2"/>
      <c r="J217" s="2">
        <f>I220*$G$34*0.3</f>
        <v>0</v>
      </c>
      <c r="K217" s="2">
        <f t="shared" si="24"/>
        <v>0</v>
      </c>
      <c r="L217" s="2">
        <f t="shared" si="26"/>
        <v>0</v>
      </c>
    </row>
    <row r="218" spans="1:12" ht="18.75">
      <c r="A218" s="8" t="s">
        <v>49</v>
      </c>
      <c r="B218" s="21">
        <f t="shared" si="25"/>
        <v>154</v>
      </c>
      <c r="C218" s="22">
        <f t="shared" si="27"/>
        <v>0</v>
      </c>
      <c r="D218" s="22">
        <f t="shared" si="28"/>
        <v>0</v>
      </c>
      <c r="E218" s="22">
        <f t="shared" si="29"/>
        <v>0</v>
      </c>
      <c r="F218" s="22">
        <v>0</v>
      </c>
      <c r="G218" s="22">
        <f>IF(B218&gt;G$24*G$27+G$33,0,(SUM(D$65:D217)*((1+G$22/G$23)^((B218-G$33)/(12/G$23))-1))-SUM(G$64:G217))</f>
        <v>0</v>
      </c>
      <c r="H218" s="2"/>
      <c r="K218" s="2">
        <f t="shared" si="24"/>
        <v>0</v>
      </c>
      <c r="L218" s="2">
        <f t="shared" si="26"/>
        <v>0</v>
      </c>
    </row>
    <row r="219" spans="1:12" ht="18.75">
      <c r="A219" s="8" t="s">
        <v>76</v>
      </c>
      <c r="B219" s="21">
        <f t="shared" si="25"/>
        <v>155</v>
      </c>
      <c r="C219" s="22">
        <f t="shared" si="27"/>
        <v>0</v>
      </c>
      <c r="D219" s="22">
        <f t="shared" si="28"/>
        <v>0</v>
      </c>
      <c r="E219" s="22">
        <f t="shared" si="29"/>
        <v>0</v>
      </c>
      <c r="F219" s="22">
        <v>0</v>
      </c>
      <c r="G219" s="22">
        <f>IF(B219&gt;G$24*G$27+G$33,0,(SUM(D$65:D218)*((1+G$22/G$23)^((B219-G$33)/(12/G$23))-1))-SUM(G$64:G218))</f>
        <v>0</v>
      </c>
      <c r="H219" s="2"/>
      <c r="K219" s="2">
        <f t="shared" si="24"/>
        <v>0</v>
      </c>
      <c r="L219" s="2">
        <f t="shared" si="26"/>
        <v>0</v>
      </c>
    </row>
    <row r="220" spans="1:12" ht="18.75">
      <c r="A220" s="8" t="s">
        <v>50</v>
      </c>
      <c r="B220" s="21">
        <f t="shared" si="25"/>
        <v>156</v>
      </c>
      <c r="C220" s="22">
        <f t="shared" si="27"/>
        <v>0</v>
      </c>
      <c r="D220" s="22">
        <f t="shared" si="28"/>
        <v>0</v>
      </c>
      <c r="E220" s="22">
        <f t="shared" si="29"/>
        <v>0</v>
      </c>
      <c r="F220" s="23">
        <f>IF(B220&lt;(G$24+G$25)*G$27+G$33,($G$19-SUM(F$62:F219)-SUM(C$77:C220))*$G$31,G$19-SUM(F$62:F219)-SUM(C$77:C220)*1)</f>
        <v>0</v>
      </c>
      <c r="G220" s="22">
        <f>IF(B220&gt;G$24*G$27+G$33,0,(SUM(D$65:D219)*((1+G$22/G$23)^((B220-G$33)/(12/G$23))-1))-SUM(G$64:G219))</f>
        <v>0</v>
      </c>
      <c r="H220" s="2"/>
      <c r="I220" s="2">
        <f>SUM(E209:E220)-F220-SUM(G209:G220)</f>
        <v>0</v>
      </c>
      <c r="J220" s="2">
        <f>I220*$G$34*0.25</f>
        <v>0</v>
      </c>
      <c r="K220" s="2">
        <f t="shared" si="24"/>
        <v>0</v>
      </c>
      <c r="L220" s="2">
        <f t="shared" si="26"/>
        <v>0</v>
      </c>
    </row>
    <row r="221" spans="1:12" ht="18.75">
      <c r="A221" s="8" t="s">
        <v>51</v>
      </c>
      <c r="B221" s="21">
        <f t="shared" si="25"/>
        <v>157</v>
      </c>
      <c r="C221" s="22">
        <f t="shared" si="27"/>
        <v>0</v>
      </c>
      <c r="D221" s="22">
        <f t="shared" si="28"/>
        <v>0</v>
      </c>
      <c r="E221" s="22">
        <f t="shared" si="29"/>
        <v>0</v>
      </c>
      <c r="F221" s="22">
        <v>0</v>
      </c>
      <c r="G221" s="22">
        <f>IF(B221&gt;G$24*G$27+G$33,0,(SUM(D$65:D220)*((1+G$22/G$23)^((B221-G$33)/(12/G$23))-1))-SUM(G$64:G220))</f>
        <v>0</v>
      </c>
      <c r="H221" s="2"/>
      <c r="K221" s="2">
        <f t="shared" si="24"/>
        <v>0</v>
      </c>
      <c r="L221" s="2">
        <f t="shared" si="26"/>
        <v>0</v>
      </c>
    </row>
    <row r="222" spans="1:12" ht="18.75">
      <c r="A222" s="8" t="s">
        <v>72</v>
      </c>
      <c r="B222" s="21">
        <f t="shared" si="25"/>
        <v>158</v>
      </c>
      <c r="C222" s="22">
        <f t="shared" si="27"/>
        <v>0</v>
      </c>
      <c r="D222" s="22">
        <f t="shared" si="28"/>
        <v>0</v>
      </c>
      <c r="E222" s="22">
        <f t="shared" si="29"/>
        <v>0</v>
      </c>
      <c r="F222" s="22">
        <v>0</v>
      </c>
      <c r="G222" s="22">
        <f>IF(B222&gt;G$24*G$27+G$33,0,(SUM(D$65:D221)*((1+G$22/G$23)^((B222-G$33)/(12/G$23))-1))-SUM(G$64:G221))</f>
        <v>0</v>
      </c>
      <c r="H222" s="2"/>
      <c r="K222" s="2">
        <f t="shared" si="24"/>
        <v>0</v>
      </c>
      <c r="L222" s="2">
        <f t="shared" si="26"/>
        <v>0</v>
      </c>
    </row>
    <row r="223" spans="1:12" ht="18.75">
      <c r="A223" s="8" t="s">
        <v>52</v>
      </c>
      <c r="B223" s="21">
        <f t="shared" si="25"/>
        <v>159</v>
      </c>
      <c r="C223" s="22">
        <f t="shared" si="27"/>
        <v>0</v>
      </c>
      <c r="D223" s="22">
        <f t="shared" si="28"/>
        <v>0</v>
      </c>
      <c r="E223" s="22">
        <f t="shared" si="29"/>
        <v>0</v>
      </c>
      <c r="F223" s="22">
        <v>0</v>
      </c>
      <c r="G223" s="22">
        <f>IF(B223&gt;G$24*G$27+G$33,0,(SUM(D$65:D222)*((1+G$22/G$23)^((B223-G$33)/(12/G$23))-1))-SUM(G$64:G222))</f>
        <v>0</v>
      </c>
      <c r="H223" s="2"/>
      <c r="J223" s="2">
        <f>I232*G$34*0.15</f>
        <v>0</v>
      </c>
      <c r="K223" s="2">
        <f t="shared" si="24"/>
        <v>0</v>
      </c>
      <c r="L223" s="2">
        <f t="shared" si="26"/>
        <v>0</v>
      </c>
    </row>
    <row r="224" spans="1:12" ht="18.75">
      <c r="A224" s="8" t="s">
        <v>73</v>
      </c>
      <c r="B224" s="21">
        <f t="shared" si="25"/>
        <v>160</v>
      </c>
      <c r="C224" s="22">
        <f t="shared" si="27"/>
        <v>0</v>
      </c>
      <c r="D224" s="22">
        <f t="shared" si="28"/>
        <v>0</v>
      </c>
      <c r="E224" s="22">
        <f t="shared" si="29"/>
        <v>0</v>
      </c>
      <c r="F224" s="22">
        <v>0</v>
      </c>
      <c r="G224" s="22">
        <f>IF(B224&gt;G$24*G$27+G$33,0,(SUM(D$65:D223)*((1+G$22/G$23)^((B224-G$33)/(12/G$23))-1))-SUM(G$64:G223))</f>
        <v>0</v>
      </c>
      <c r="H224" s="2"/>
      <c r="K224" s="2">
        <f t="shared" si="24"/>
        <v>0</v>
      </c>
      <c r="L224" s="2">
        <f t="shared" si="26"/>
        <v>0</v>
      </c>
    </row>
    <row r="225" spans="1:12" ht="18.75">
      <c r="A225" s="8" t="s">
        <v>53</v>
      </c>
      <c r="B225" s="21">
        <f t="shared" si="25"/>
        <v>161</v>
      </c>
      <c r="C225" s="22">
        <f t="shared" si="27"/>
        <v>0</v>
      </c>
      <c r="D225" s="22">
        <f t="shared" si="28"/>
        <v>0</v>
      </c>
      <c r="E225" s="22">
        <f t="shared" si="29"/>
        <v>0</v>
      </c>
      <c r="F225" s="22">
        <v>0</v>
      </c>
      <c r="G225" s="22">
        <f>IF(B225&gt;G$24*G$27+G$33,0,(SUM(D$65:D224)*((1+G$22/G$23)^((B225-G$33)/(12/G$23))-1))-SUM(G$64:G224))</f>
        <v>0</v>
      </c>
      <c r="H225" s="2"/>
      <c r="K225" s="2">
        <f aca="true" t="shared" si="30" ref="K225:K244">C225+D225+E225</f>
        <v>0</v>
      </c>
      <c r="L225" s="2">
        <f t="shared" si="26"/>
        <v>0</v>
      </c>
    </row>
    <row r="226" spans="1:12" ht="18.75">
      <c r="A226" s="8" t="s">
        <v>54</v>
      </c>
      <c r="B226" s="21">
        <f t="shared" si="25"/>
        <v>162</v>
      </c>
      <c r="C226" s="22">
        <f t="shared" si="27"/>
        <v>0</v>
      </c>
      <c r="D226" s="22">
        <f t="shared" si="28"/>
        <v>0</v>
      </c>
      <c r="E226" s="22">
        <f t="shared" si="29"/>
        <v>0</v>
      </c>
      <c r="F226" s="22">
        <v>0</v>
      </c>
      <c r="G226" s="22">
        <f>IF(B226&gt;G$24*G$27+G$33,0,(SUM(D$65:D225)*((1+G$22/G$23)^((B226-G$33)/(12/G$23))-1))-SUM(G$64:G225))</f>
        <v>0</v>
      </c>
      <c r="H226" s="2"/>
      <c r="J226" s="2">
        <f>I232*$G$34*0.3</f>
        <v>0</v>
      </c>
      <c r="K226" s="2">
        <f t="shared" si="30"/>
        <v>0</v>
      </c>
      <c r="L226" s="2">
        <f t="shared" si="26"/>
        <v>0</v>
      </c>
    </row>
    <row r="227" spans="1:12" ht="18.75">
      <c r="A227" s="8" t="s">
        <v>74</v>
      </c>
      <c r="B227" s="21">
        <f t="shared" si="25"/>
        <v>163</v>
      </c>
      <c r="C227" s="22">
        <f t="shared" si="27"/>
        <v>0</v>
      </c>
      <c r="D227" s="22">
        <f t="shared" si="28"/>
        <v>0</v>
      </c>
      <c r="E227" s="22">
        <f t="shared" si="29"/>
        <v>0</v>
      </c>
      <c r="F227" s="22">
        <v>0</v>
      </c>
      <c r="G227" s="22">
        <f>IF(B227&gt;G$24*G$27+G$33,0,(SUM(D$65:D226)*((1+G$22/G$23)^((B227-G$33)/(12/G$23))-1))-SUM(G$64:G226))</f>
        <v>0</v>
      </c>
      <c r="H227" s="2"/>
      <c r="K227" s="2">
        <f t="shared" si="30"/>
        <v>0</v>
      </c>
      <c r="L227" s="2">
        <f t="shared" si="26"/>
        <v>0</v>
      </c>
    </row>
    <row r="228" spans="1:12" ht="18.75">
      <c r="A228" s="8" t="s">
        <v>75</v>
      </c>
      <c r="B228" s="21">
        <f t="shared" si="25"/>
        <v>164</v>
      </c>
      <c r="C228" s="22">
        <f t="shared" si="27"/>
        <v>0</v>
      </c>
      <c r="D228" s="22">
        <f t="shared" si="28"/>
        <v>0</v>
      </c>
      <c r="E228" s="22">
        <f t="shared" si="29"/>
        <v>0</v>
      </c>
      <c r="F228" s="22">
        <v>0</v>
      </c>
      <c r="G228" s="22">
        <f>IF(B228&gt;G$24*G$27+G$33,0,(SUM(D$65:D227)*((1+G$22/G$23)^((B228-G$33)/(12/G$23))-1))-SUM(G$64:G227))</f>
        <v>0</v>
      </c>
      <c r="H228" s="2"/>
      <c r="K228" s="2">
        <f t="shared" si="30"/>
        <v>0</v>
      </c>
      <c r="L228" s="2">
        <f t="shared" si="26"/>
        <v>0</v>
      </c>
    </row>
    <row r="229" spans="1:12" ht="18.75">
      <c r="A229" s="8" t="s">
        <v>55</v>
      </c>
      <c r="B229" s="21">
        <f t="shared" si="25"/>
        <v>165</v>
      </c>
      <c r="C229" s="22">
        <f t="shared" si="27"/>
        <v>0</v>
      </c>
      <c r="D229" s="22">
        <f t="shared" si="28"/>
        <v>0</v>
      </c>
      <c r="E229" s="22">
        <f t="shared" si="29"/>
        <v>0</v>
      </c>
      <c r="F229" s="22">
        <v>0</v>
      </c>
      <c r="G229" s="22">
        <f>IF(B229&gt;G$24*G$27+G$33,0,(SUM(D$65:D228)*((1+G$22/G$23)^((B229-G$33)/(12/G$23))-1))-SUM(G$64:G228))</f>
        <v>0</v>
      </c>
      <c r="H229" s="2"/>
      <c r="J229" s="2">
        <f>I232*$G$34*0.3</f>
        <v>0</v>
      </c>
      <c r="K229" s="2">
        <f t="shared" si="30"/>
        <v>0</v>
      </c>
      <c r="L229" s="2">
        <f t="shared" si="26"/>
        <v>0</v>
      </c>
    </row>
    <row r="230" spans="1:12" ht="18.75">
      <c r="A230" s="8" t="s">
        <v>49</v>
      </c>
      <c r="B230" s="21">
        <f t="shared" si="25"/>
        <v>166</v>
      </c>
      <c r="C230" s="22">
        <f t="shared" si="27"/>
        <v>0</v>
      </c>
      <c r="D230" s="22">
        <f t="shared" si="28"/>
        <v>0</v>
      </c>
      <c r="E230" s="22">
        <f t="shared" si="29"/>
        <v>0</v>
      </c>
      <c r="F230" s="22">
        <v>0</v>
      </c>
      <c r="G230" s="22">
        <f>IF(B230&gt;G$24*G$27+G$33,0,(SUM(D$65:D229)*((1+G$22/G$23)^((B230-G$33)/(12/G$23))-1))-SUM(G$64:G229))</f>
        <v>0</v>
      </c>
      <c r="H230" s="2"/>
      <c r="K230" s="2">
        <f t="shared" si="30"/>
        <v>0</v>
      </c>
      <c r="L230" s="2">
        <f t="shared" si="26"/>
        <v>0</v>
      </c>
    </row>
    <row r="231" spans="1:12" ht="18.75">
      <c r="A231" s="8" t="s">
        <v>76</v>
      </c>
      <c r="B231" s="21">
        <f t="shared" si="25"/>
        <v>167</v>
      </c>
      <c r="C231" s="22">
        <f t="shared" si="27"/>
        <v>0</v>
      </c>
      <c r="D231" s="22">
        <f t="shared" si="28"/>
        <v>0</v>
      </c>
      <c r="E231" s="22">
        <f t="shared" si="29"/>
        <v>0</v>
      </c>
      <c r="F231" s="22">
        <v>0</v>
      </c>
      <c r="G231" s="22">
        <f>IF(B231&gt;G$24*G$27+G$33,0,(SUM(D$65:D230)*((1+G$22/G$23)^((B231-G$33)/(12/G$23))-1))-SUM(G$64:G230))</f>
        <v>0</v>
      </c>
      <c r="H231" s="2"/>
      <c r="K231" s="2">
        <f t="shared" si="30"/>
        <v>0</v>
      </c>
      <c r="L231" s="2">
        <f t="shared" si="26"/>
        <v>0</v>
      </c>
    </row>
    <row r="232" spans="1:12" ht="18.75">
      <c r="A232" s="8" t="s">
        <v>50</v>
      </c>
      <c r="B232" s="21">
        <f t="shared" si="25"/>
        <v>168</v>
      </c>
      <c r="C232" s="22">
        <f t="shared" si="27"/>
        <v>0</v>
      </c>
      <c r="D232" s="22">
        <f t="shared" si="28"/>
        <v>0</v>
      </c>
      <c r="E232" s="22">
        <f t="shared" si="29"/>
        <v>0</v>
      </c>
      <c r="F232" s="23">
        <f>IF(B232&lt;(G$24+G$25)*G$27+G$33,($G$19-SUM(F$62:F231)-SUM(C$77:C232))*$G$31,G$19-SUM(F$62:F231)-SUM(C$77:C232)*1)</f>
        <v>0</v>
      </c>
      <c r="G232" s="22">
        <f>IF(B232&gt;G$24*G$27+G$33,0,(SUM(D$65:D231)*((1+G$22/G$23)^((B232-G$33)/(12/G$23))-1))-SUM(G$64:G231))</f>
        <v>0</v>
      </c>
      <c r="H232" s="2"/>
      <c r="I232" s="2">
        <f>SUM(E221:E232)-F232-SUM(G221:G232)</f>
        <v>0</v>
      </c>
      <c r="J232" s="2">
        <f>I232*$G$34*0.25</f>
        <v>0</v>
      </c>
      <c r="K232" s="2">
        <f t="shared" si="30"/>
        <v>0</v>
      </c>
      <c r="L232" s="2">
        <f t="shared" si="26"/>
        <v>0</v>
      </c>
    </row>
    <row r="233" spans="1:12" ht="18.75">
      <c r="A233" s="8" t="s">
        <v>51</v>
      </c>
      <c r="B233" s="21">
        <f t="shared" si="25"/>
        <v>169</v>
      </c>
      <c r="C233" s="22">
        <f t="shared" si="27"/>
        <v>0</v>
      </c>
      <c r="D233" s="22">
        <f t="shared" si="28"/>
        <v>0</v>
      </c>
      <c r="E233" s="22">
        <f t="shared" si="29"/>
        <v>0</v>
      </c>
      <c r="F233" s="22">
        <v>0</v>
      </c>
      <c r="G233" s="22">
        <f>IF(B233&gt;G$24*G$27+G$33,0,(SUM(D$65:D232)*((1+G$22/G$23)^((B233-G$33)/(12/G$23))-1))-SUM(G$64:G232))</f>
        <v>0</v>
      </c>
      <c r="H233" s="2"/>
      <c r="K233" s="2">
        <f t="shared" si="30"/>
        <v>0</v>
      </c>
      <c r="L233" s="2">
        <f t="shared" si="26"/>
        <v>0</v>
      </c>
    </row>
    <row r="234" spans="1:12" ht="18.75">
      <c r="A234" s="8" t="s">
        <v>72</v>
      </c>
      <c r="B234" s="21">
        <f t="shared" si="25"/>
        <v>170</v>
      </c>
      <c r="C234" s="22">
        <f t="shared" si="27"/>
        <v>0</v>
      </c>
      <c r="D234" s="22">
        <f t="shared" si="28"/>
        <v>0</v>
      </c>
      <c r="E234" s="22">
        <f t="shared" si="29"/>
        <v>0</v>
      </c>
      <c r="F234" s="22">
        <v>0</v>
      </c>
      <c r="G234" s="22">
        <f>IF(B234&gt;G$24*G$27+G$33,0,(SUM(D$65:D233)*((1+G$22/G$23)^((B234-G$33)/(12/G$23))-1))-SUM(G$64:G233))</f>
        <v>0</v>
      </c>
      <c r="H234" s="2"/>
      <c r="K234" s="2">
        <f t="shared" si="30"/>
        <v>0</v>
      </c>
      <c r="L234" s="2">
        <f aca="true" t="shared" si="31" ref="L234:L244">C234+E234-J234+D234</f>
        <v>0</v>
      </c>
    </row>
    <row r="235" spans="1:12" ht="18.75">
      <c r="A235" s="8" t="s">
        <v>52</v>
      </c>
      <c r="B235" s="21">
        <f t="shared" si="25"/>
        <v>171</v>
      </c>
      <c r="C235" s="22">
        <f t="shared" si="27"/>
        <v>0</v>
      </c>
      <c r="D235" s="22">
        <f t="shared" si="28"/>
        <v>0</v>
      </c>
      <c r="E235" s="22">
        <f t="shared" si="29"/>
        <v>0</v>
      </c>
      <c r="F235" s="22">
        <v>0</v>
      </c>
      <c r="G235" s="22">
        <f>IF(B235&gt;G$24*G$27+G$33,0,(SUM(D$65:D234)*((1+G$22/G$23)^((B235-G$33)/(12/G$23))-1))-SUM(G$64:G234))</f>
        <v>0</v>
      </c>
      <c r="H235" s="2"/>
      <c r="J235" s="2">
        <f>I244*G$34*0.15</f>
        <v>0</v>
      </c>
      <c r="K235" s="2">
        <f t="shared" si="30"/>
        <v>0</v>
      </c>
      <c r="L235" s="2">
        <f t="shared" si="31"/>
        <v>0</v>
      </c>
    </row>
    <row r="236" spans="1:12" ht="18.75">
      <c r="A236" s="8" t="s">
        <v>73</v>
      </c>
      <c r="B236" s="21">
        <f t="shared" si="25"/>
        <v>172</v>
      </c>
      <c r="C236" s="22">
        <f t="shared" si="27"/>
        <v>0</v>
      </c>
      <c r="D236" s="22">
        <f t="shared" si="28"/>
        <v>0</v>
      </c>
      <c r="E236" s="22">
        <f t="shared" si="29"/>
        <v>0</v>
      </c>
      <c r="F236" s="22">
        <v>0</v>
      </c>
      <c r="G236" s="22">
        <f>IF(B236&gt;G$24*G$27+G$33,0,(SUM(D$65:D235)*((1+G$22/G$23)^((B236-G$33)/(12/G$23))-1))-SUM(G$64:G235))</f>
        <v>0</v>
      </c>
      <c r="H236" s="2"/>
      <c r="K236" s="2">
        <f t="shared" si="30"/>
        <v>0</v>
      </c>
      <c r="L236" s="2">
        <f t="shared" si="31"/>
        <v>0</v>
      </c>
    </row>
    <row r="237" spans="1:12" ht="18.75">
      <c r="A237" s="8" t="s">
        <v>53</v>
      </c>
      <c r="B237" s="21">
        <f t="shared" si="25"/>
        <v>173</v>
      </c>
      <c r="C237" s="22">
        <f>IF(B237=(G$24)*G$27+G$33,G$19*G$29,0)</f>
        <v>0</v>
      </c>
      <c r="D237" s="22">
        <f aca="true" t="shared" si="32" ref="D237:D244">IF(B237=($G$24)*G$27+G$33,-G$19*G$21*((1+G$22/G$23)^(G$24*G$23)),0)</f>
        <v>0</v>
      </c>
      <c r="E237" s="22">
        <f aca="true" t="shared" si="33" ref="E237:E244">IF(B237&lt;$G$33,0,IF(B237&lt;=G$24*G$27+$G$33-1,+(G$17*12/G$27),0))</f>
        <v>0</v>
      </c>
      <c r="F237" s="22">
        <v>0</v>
      </c>
      <c r="G237" s="22">
        <f>IF(B237&gt;G$24*G$27+G$33,0,(SUM(D$65:D236)*((1+G$22/G$23)^((B237-G$33)/(12/G$23))-1))-SUM(G$64:G236))</f>
        <v>0</v>
      </c>
      <c r="H237" s="2"/>
      <c r="K237" s="2">
        <f t="shared" si="30"/>
        <v>0</v>
      </c>
      <c r="L237" s="2">
        <f t="shared" si="31"/>
        <v>0</v>
      </c>
    </row>
    <row r="238" spans="1:12" ht="18.75">
      <c r="A238" s="8" t="s">
        <v>54</v>
      </c>
      <c r="B238" s="21">
        <f t="shared" si="25"/>
        <v>174</v>
      </c>
      <c r="C238" s="22">
        <f>IF(B238=(G$24)*G$27+G$33,G$19*G$29,0)</f>
        <v>0</v>
      </c>
      <c r="D238" s="22">
        <f t="shared" si="32"/>
        <v>0</v>
      </c>
      <c r="E238" s="22">
        <f t="shared" si="33"/>
        <v>0</v>
      </c>
      <c r="F238" s="22">
        <v>0</v>
      </c>
      <c r="G238" s="22">
        <f>IF(B238&gt;G$24*G$27+G$33,0,(SUM(D$65:D237)*((1+G$22/G$23)^((B238-G$33)/(12/G$23))-1))-SUM(G$64:G237))</f>
        <v>0</v>
      </c>
      <c r="H238" s="2"/>
      <c r="J238" s="2">
        <f>I244*$G$34*0.3</f>
        <v>0</v>
      </c>
      <c r="K238" s="2">
        <f t="shared" si="30"/>
        <v>0</v>
      </c>
      <c r="L238" s="2">
        <f t="shared" si="31"/>
        <v>0</v>
      </c>
    </row>
    <row r="239" spans="1:12" ht="18.75">
      <c r="A239" s="8" t="s">
        <v>74</v>
      </c>
      <c r="B239" s="21">
        <f t="shared" si="25"/>
        <v>175</v>
      </c>
      <c r="C239" s="22">
        <f>IF(B239=(G$24)*G$27+G$33,G$19*G$29,0)</f>
        <v>0</v>
      </c>
      <c r="D239" s="22">
        <f t="shared" si="32"/>
        <v>0</v>
      </c>
      <c r="E239" s="22">
        <f t="shared" si="33"/>
        <v>0</v>
      </c>
      <c r="F239" s="22">
        <v>0</v>
      </c>
      <c r="G239" s="22">
        <f>IF(B239&gt;G$24*G$27+G$33,0,(SUM(D$65:D238)*((1+G$22/G$23)^((B239-G$33)/(12/G$23))-1))-SUM(G$64:G238))</f>
        <v>0</v>
      </c>
      <c r="H239" s="2"/>
      <c r="K239" s="2">
        <f t="shared" si="30"/>
        <v>0</v>
      </c>
      <c r="L239" s="2">
        <f t="shared" si="31"/>
        <v>0</v>
      </c>
    </row>
    <row r="240" spans="1:12" ht="18.75">
      <c r="A240" s="8" t="s">
        <v>75</v>
      </c>
      <c r="B240" s="21">
        <f t="shared" si="25"/>
        <v>176</v>
      </c>
      <c r="C240" s="22">
        <f>IF(B240=(G$24)*G$27+G$33,G$19*G$29,0)</f>
        <v>0</v>
      </c>
      <c r="D240" s="22">
        <f t="shared" si="32"/>
        <v>0</v>
      </c>
      <c r="E240" s="22">
        <f t="shared" si="33"/>
        <v>0</v>
      </c>
      <c r="F240" s="22">
        <v>0</v>
      </c>
      <c r="G240" s="22">
        <f>IF(B240&gt;G$24*G$27+G$33,0,(SUM(D$65:D239)*((1+G$22/G$23)^((B240-G$33)/(12/G$23))-1))-SUM(G$64:G239))</f>
        <v>0</v>
      </c>
      <c r="H240" s="2"/>
      <c r="K240" s="2">
        <f t="shared" si="30"/>
        <v>0</v>
      </c>
      <c r="L240" s="2">
        <f t="shared" si="31"/>
        <v>0</v>
      </c>
    </row>
    <row r="241" spans="1:12" ht="18.75">
      <c r="A241" s="8" t="s">
        <v>55</v>
      </c>
      <c r="B241" s="21">
        <f t="shared" si="25"/>
        <v>177</v>
      </c>
      <c r="C241" s="22">
        <f>IF(B241=(G$24)*G$27+G$33,G$19*G$29,0)</f>
        <v>0</v>
      </c>
      <c r="D241" s="22">
        <f t="shared" si="32"/>
        <v>0</v>
      </c>
      <c r="E241" s="22">
        <f t="shared" si="33"/>
        <v>0</v>
      </c>
      <c r="F241" s="22">
        <v>0</v>
      </c>
      <c r="G241" s="22">
        <f>IF(B241&gt;G$24*G$27+G$33,0,(SUM(D$65:D240)*((1+G$22/G$23)^((B241-G$33)/(12/G$23))-1))-SUM(G$64:G240))</f>
        <v>0</v>
      </c>
      <c r="H241" s="2"/>
      <c r="J241" s="2">
        <f>I244*$G$34*0.3</f>
        <v>0</v>
      </c>
      <c r="K241" s="2">
        <f t="shared" si="30"/>
        <v>0</v>
      </c>
      <c r="L241" s="2">
        <f t="shared" si="31"/>
        <v>0</v>
      </c>
    </row>
    <row r="242" spans="1:12" ht="18.75">
      <c r="A242" s="8" t="s">
        <v>49</v>
      </c>
      <c r="B242" s="21">
        <f t="shared" si="25"/>
        <v>178</v>
      </c>
      <c r="C242" s="22">
        <f>IF(B242=(G$24)*G$27+G$33,G$19*G$29,0)</f>
        <v>0</v>
      </c>
      <c r="D242" s="22">
        <f t="shared" si="32"/>
        <v>0</v>
      </c>
      <c r="E242" s="22">
        <f t="shared" si="33"/>
        <v>0</v>
      </c>
      <c r="F242" s="22">
        <v>0</v>
      </c>
      <c r="G242" s="22">
        <f>IF(B242&gt;G$24*G$27+G$33,0,(SUM(D$65:D241)*((1+G$22/G$23)^((B242-G$33)/(12/G$23))-1))-SUM(G$64:G241))</f>
        <v>0</v>
      </c>
      <c r="H242" s="2"/>
      <c r="K242" s="2">
        <f t="shared" si="30"/>
        <v>0</v>
      </c>
      <c r="L242" s="2">
        <f t="shared" si="31"/>
        <v>0</v>
      </c>
    </row>
    <row r="243" spans="1:12" ht="18.75">
      <c r="A243" s="8" t="s">
        <v>76</v>
      </c>
      <c r="B243" s="21">
        <f t="shared" si="25"/>
        <v>179</v>
      </c>
      <c r="C243" s="22">
        <f>IF(B243=(G$24)*G$27+G$33,G$19*G$29,0)</f>
        <v>0</v>
      </c>
      <c r="D243" s="22">
        <f t="shared" si="32"/>
        <v>0</v>
      </c>
      <c r="E243" s="22">
        <f t="shared" si="33"/>
        <v>0</v>
      </c>
      <c r="F243" s="22">
        <v>0</v>
      </c>
      <c r="G243" s="22">
        <f>IF(B243&gt;G$24*G$27+G$33,0,(SUM(D$65:D242)*((1+G$22/G$23)^((B243-G$33)/(12/G$23))-1))-SUM(G$64:G242))</f>
        <v>0</v>
      </c>
      <c r="H243" s="2"/>
      <c r="K243" s="2">
        <f t="shared" si="30"/>
        <v>0</v>
      </c>
      <c r="L243" s="2">
        <f t="shared" si="31"/>
        <v>0</v>
      </c>
    </row>
    <row r="244" spans="1:12" ht="18.75">
      <c r="A244" s="8" t="s">
        <v>50</v>
      </c>
      <c r="B244" s="21">
        <f t="shared" si="25"/>
        <v>180</v>
      </c>
      <c r="C244" s="22">
        <f>IF(B244=(G$24)*G$27+G$33,G$19*G$29,0)</f>
        <v>0</v>
      </c>
      <c r="D244" s="22">
        <f t="shared" si="32"/>
        <v>0</v>
      </c>
      <c r="E244" s="22">
        <f t="shared" si="33"/>
        <v>0</v>
      </c>
      <c r="F244" s="23">
        <f>IF(B244&lt;(G$24+G$25)*G$27+G$33,($G$19-SUM(F$62:F243)-SUM(C$77:C244))*$G$31,G$19-SUM(F$62:F243)-SUM(C$77:C244)*1)</f>
        <v>0</v>
      </c>
      <c r="G244" s="22">
        <f>IF(B244&gt;G$24*G$27+G$33,0,(SUM(D$65:D243)*((1+G$22/G$23)^((B244-G$33)/(12/G$23))-1))-SUM(G$64:G243))</f>
        <v>0</v>
      </c>
      <c r="H244" s="2"/>
      <c r="I244" s="2">
        <f>SUM(E233:E244)-F244-SUM(G233:G244)</f>
        <v>0</v>
      </c>
      <c r="J244" s="2">
        <f>I244*$G$34*0.25</f>
        <v>0</v>
      </c>
      <c r="K244" s="2">
        <f t="shared" si="30"/>
        <v>0</v>
      </c>
      <c r="L244" s="2">
        <f t="shared" si="31"/>
        <v>0</v>
      </c>
    </row>
    <row r="245" spans="1:12" ht="18.75">
      <c r="A245" s="8"/>
      <c r="B245" s="21"/>
      <c r="C245" s="22"/>
      <c r="D245" s="22"/>
      <c r="E245" s="22"/>
      <c r="F245" s="22"/>
      <c r="G245" s="22"/>
      <c r="H245" s="2"/>
      <c r="I245" s="2"/>
      <c r="J245" s="2"/>
      <c r="K245" s="2"/>
      <c r="L245" s="2"/>
    </row>
    <row r="246" spans="1:12" ht="18.75">
      <c r="A246" s="8"/>
      <c r="B246" s="21"/>
      <c r="C246" s="22"/>
      <c r="D246" s="22"/>
      <c r="E246" s="22"/>
      <c r="F246" s="22">
        <f>SUM(F65:F244)</f>
        <v>800</v>
      </c>
      <c r="G246" s="22"/>
      <c r="H246" s="2"/>
      <c r="I246" s="2"/>
      <c r="J246" s="2"/>
      <c r="K246" s="2"/>
      <c r="L246" s="2"/>
    </row>
    <row r="248" spans="1:13" ht="18.75">
      <c r="A248" s="4"/>
      <c r="D248" s="24"/>
      <c r="E248" s="24"/>
      <c r="L248" s="9"/>
      <c r="M248" s="9"/>
    </row>
    <row r="249" spans="1:13" ht="18.75">
      <c r="A249" s="4"/>
      <c r="D249" s="24"/>
      <c r="E249" s="24"/>
      <c r="F249" s="20" t="s">
        <v>56</v>
      </c>
      <c r="K249" s="6">
        <f>IRR(K65:K196,0.23/12)</f>
        <v>0.012500000000000535</v>
      </c>
      <c r="L249" s="6">
        <f>IRR(L65:L196,G35/12)</f>
        <v>0.007186644500156089</v>
      </c>
      <c r="M249" s="9"/>
    </row>
    <row r="250" spans="6:11" ht="18.75">
      <c r="F250" s="20" t="s">
        <v>57</v>
      </c>
      <c r="K250" s="6">
        <f>K249*12</f>
        <v>0.1500000000000064</v>
      </c>
    </row>
    <row r="252" spans="1:13" ht="18.75">
      <c r="A252" s="7" t="s">
        <v>31</v>
      </c>
      <c r="B252" s="19" t="s">
        <v>31</v>
      </c>
      <c r="C252" s="19" t="s">
        <v>31</v>
      </c>
      <c r="D252" s="19" t="s">
        <v>31</v>
      </c>
      <c r="E252" s="19" t="s">
        <v>31</v>
      </c>
      <c r="F252" s="19" t="s">
        <v>31</v>
      </c>
      <c r="G252" s="19" t="s">
        <v>31</v>
      </c>
      <c r="H252" s="7"/>
      <c r="I252" s="7" t="s">
        <v>31</v>
      </c>
      <c r="J252" s="7" t="s">
        <v>31</v>
      </c>
      <c r="K252" s="7" t="s">
        <v>31</v>
      </c>
      <c r="L252" s="7" t="s">
        <v>31</v>
      </c>
      <c r="M252" s="7" t="s">
        <v>31</v>
      </c>
    </row>
    <row r="254" spans="1:4" ht="18.75">
      <c r="A254" s="3"/>
      <c r="D254" s="20" t="s">
        <v>58</v>
      </c>
    </row>
    <row r="256" spans="1:13" ht="18.75">
      <c r="A256" s="3"/>
      <c r="B256" s="20" t="s">
        <v>33</v>
      </c>
      <c r="C256" s="20" t="s">
        <v>59</v>
      </c>
      <c r="D256" s="20" t="s">
        <v>35</v>
      </c>
      <c r="E256" s="20" t="s">
        <v>60</v>
      </c>
      <c r="F256" s="20" t="s">
        <v>61</v>
      </c>
      <c r="G256" s="20" t="s">
        <v>38</v>
      </c>
      <c r="H256" s="1"/>
      <c r="I256" s="1" t="s">
        <v>39</v>
      </c>
      <c r="J256" s="1" t="s">
        <v>40</v>
      </c>
      <c r="K256" s="1" t="s">
        <v>41</v>
      </c>
      <c r="L256" s="1" t="s">
        <v>42</v>
      </c>
      <c r="M256" s="10" t="s">
        <v>62</v>
      </c>
    </row>
    <row r="257" spans="4:13" ht="18.75">
      <c r="D257" s="20" t="s">
        <v>43</v>
      </c>
      <c r="E257" s="20" t="s">
        <v>63</v>
      </c>
      <c r="F257" s="20" t="s">
        <v>64</v>
      </c>
      <c r="G257" s="20" t="s">
        <v>45</v>
      </c>
      <c r="H257" s="1"/>
      <c r="I257" s="1" t="s">
        <v>46</v>
      </c>
      <c r="K257" s="1" t="s">
        <v>47</v>
      </c>
      <c r="M257" s="1" t="s">
        <v>65</v>
      </c>
    </row>
    <row r="258" spans="1:8" ht="18.75">
      <c r="A258" s="3"/>
      <c r="B258" s="21"/>
      <c r="G258" s="20" t="s">
        <v>48</v>
      </c>
      <c r="H258" s="1"/>
    </row>
    <row r="259" spans="1:13" ht="18.75">
      <c r="A259" s="8" t="s">
        <v>51</v>
      </c>
      <c r="B259" s="21">
        <v>1</v>
      </c>
      <c r="C259" s="22">
        <f aca="true" t="shared" si="34" ref="C259:C270">IF(B259=$G$33,-G$19,0)</f>
        <v>-1000</v>
      </c>
      <c r="D259" s="22">
        <f aca="true" t="shared" si="35" ref="D259:D270">IF(B259=$G$33,G$19*G$21,0)</f>
        <v>0</v>
      </c>
      <c r="E259" s="22">
        <f aca="true" t="shared" si="36" ref="E259:E270">IF(B259&lt;$G$33,0,IF(B259&lt;=G$26*G$27+$G$33-1,+(G$18*12/G$27),0))+IF(B259=G$33,G$19*G$20,0)</f>
        <v>34.23736148562386</v>
      </c>
      <c r="F259" s="22">
        <f aca="true" t="shared" si="37" ref="F259:F270">IF(B259&lt;G$33,0,(+G$18*G$26*G$27-G$19)/SUM(M$259:M$390)*M259)+IF(B259=G$33,G$19*G$20,0)</f>
        <v>12.919167415692145</v>
      </c>
      <c r="G259" s="22">
        <f>IF(B259&gt;G$26*G$27+G$33,0,(SUM(D$258)*((1+G$22/G$23)^((B259-G$33)/(12/G$23))-1))-SUM(G258))</f>
        <v>0</v>
      </c>
      <c r="H259" s="2"/>
      <c r="K259" s="2">
        <f aca="true" t="shared" si="38" ref="K259:K290">C259+D259+E259</f>
        <v>-965.7626385143761</v>
      </c>
      <c r="L259" s="2">
        <f aca="true" t="shared" si="39" ref="L259:L266">C259+E259-J259+D259</f>
        <v>-965.7626385143761</v>
      </c>
      <c r="M259" s="2">
        <f>IF(B259&lt;G$33,0,SUM(E260:E$390))</f>
        <v>1198.3076519968345</v>
      </c>
    </row>
    <row r="260" spans="1:13" ht="18.75">
      <c r="A260" s="8" t="s">
        <v>72</v>
      </c>
      <c r="B260" s="21">
        <v>2</v>
      </c>
      <c r="C260" s="22">
        <f t="shared" si="34"/>
        <v>0</v>
      </c>
      <c r="D260" s="22">
        <f t="shared" si="35"/>
        <v>0</v>
      </c>
      <c r="E260" s="22">
        <f t="shared" si="36"/>
        <v>34.23736148562386</v>
      </c>
      <c r="F260" s="22">
        <f t="shared" si="37"/>
        <v>12.550048346672371</v>
      </c>
      <c r="G260" s="22">
        <f>IF(B260&gt;G$26*G$27+G$33,0,(SUM(D$258:D259)*((1+G$22/G$23)^((B260-G$33)/(12/G$23))-1))-SUM(G$258:G259))</f>
        <v>0</v>
      </c>
      <c r="H260" s="2"/>
      <c r="K260" s="2">
        <f t="shared" si="38"/>
        <v>34.23736148562386</v>
      </c>
      <c r="L260" s="2">
        <f t="shared" si="39"/>
        <v>34.23736148562386</v>
      </c>
      <c r="M260" s="2">
        <f>IF(B260&lt;G$33,0,SUM(E261:E$390))</f>
        <v>1164.0702905112107</v>
      </c>
    </row>
    <row r="261" spans="1:13" ht="18.75">
      <c r="A261" s="8" t="s">
        <v>52</v>
      </c>
      <c r="B261" s="21">
        <v>3</v>
      </c>
      <c r="C261" s="22">
        <f t="shared" si="34"/>
        <v>0</v>
      </c>
      <c r="D261" s="22">
        <f t="shared" si="35"/>
        <v>0</v>
      </c>
      <c r="E261" s="22">
        <f t="shared" si="36"/>
        <v>34.23736148562386</v>
      </c>
      <c r="F261" s="22">
        <f t="shared" si="37"/>
        <v>12.180929277652597</v>
      </c>
      <c r="G261" s="22">
        <f>IF(B261&gt;G$26*G$27+G$33,0,(SUM(D$258:D260)*((1+G$22/G$23)^((B261-G$33)/(12/G$23))-1))-SUM(G$258:G260))</f>
        <v>0</v>
      </c>
      <c r="H261" s="2"/>
      <c r="J261" s="2">
        <f>I270*G$34*0.15</f>
        <v>8.820100154227543</v>
      </c>
      <c r="K261" s="2">
        <f t="shared" si="38"/>
        <v>34.23736148562386</v>
      </c>
      <c r="L261" s="2">
        <f t="shared" si="39"/>
        <v>25.417261331396315</v>
      </c>
      <c r="M261" s="2">
        <f>IF(B261&lt;G$33,0,SUM(E262:E$390))</f>
        <v>1129.832929025587</v>
      </c>
    </row>
    <row r="262" spans="1:13" ht="18.75">
      <c r="A262" s="8" t="s">
        <v>73</v>
      </c>
      <c r="B262" s="21">
        <v>4</v>
      </c>
      <c r="C262" s="22">
        <f t="shared" si="34"/>
        <v>0</v>
      </c>
      <c r="D262" s="22">
        <f t="shared" si="35"/>
        <v>0</v>
      </c>
      <c r="E262" s="22">
        <f t="shared" si="36"/>
        <v>34.23736148562386</v>
      </c>
      <c r="F262" s="22">
        <f t="shared" si="37"/>
        <v>11.811810208632822</v>
      </c>
      <c r="G262" s="22">
        <f>IF(B262&gt;G$26*G$27+G$33,0,(SUM(D$258:D261)*((1+G$22/G$23)^((B262-G$33)/(12/G$23))-1))-SUM(G$258:G261))</f>
        <v>0</v>
      </c>
      <c r="H262" s="2"/>
      <c r="K262" s="2">
        <f t="shared" si="38"/>
        <v>34.23736148562386</v>
      </c>
      <c r="L262" s="2">
        <f t="shared" si="39"/>
        <v>34.23736148562386</v>
      </c>
      <c r="M262" s="2">
        <f>IF(B262&lt;G$33,0,SUM(E263:E$390))</f>
        <v>1095.5955675399632</v>
      </c>
    </row>
    <row r="263" spans="1:13" ht="18.75">
      <c r="A263" s="8" t="s">
        <v>53</v>
      </c>
      <c r="B263" s="21">
        <v>5</v>
      </c>
      <c r="C263" s="22">
        <f t="shared" si="34"/>
        <v>0</v>
      </c>
      <c r="D263" s="22">
        <f t="shared" si="35"/>
        <v>0</v>
      </c>
      <c r="E263" s="22">
        <f t="shared" si="36"/>
        <v>34.23736148562386</v>
      </c>
      <c r="F263" s="22">
        <f t="shared" si="37"/>
        <v>11.442691139613048</v>
      </c>
      <c r="G263" s="22">
        <f>IF(B263&gt;G$26*G$27+G$33,0,(SUM(D$258:D262)*((1+G$22/G$23)^((B263-G$33)/(12/G$23))-1))-SUM(G$258:G262))</f>
        <v>0</v>
      </c>
      <c r="H263" s="2"/>
      <c r="K263" s="2">
        <f t="shared" si="38"/>
        <v>34.23736148562386</v>
      </c>
      <c r="L263" s="2">
        <f t="shared" si="39"/>
        <v>34.23736148562386</v>
      </c>
      <c r="M263" s="2">
        <f>IF(B263&lt;G$33,0,SUM(E264:E$390))</f>
        <v>1061.3582060543395</v>
      </c>
    </row>
    <row r="264" spans="1:13" ht="18.75">
      <c r="A264" s="8" t="s">
        <v>54</v>
      </c>
      <c r="B264" s="21">
        <v>6</v>
      </c>
      <c r="C264" s="22">
        <f t="shared" si="34"/>
        <v>0</v>
      </c>
      <c r="D264" s="22">
        <f t="shared" si="35"/>
        <v>0</v>
      </c>
      <c r="E264" s="22">
        <f t="shared" si="36"/>
        <v>34.23736148562386</v>
      </c>
      <c r="F264" s="22">
        <f t="shared" si="37"/>
        <v>11.073572070593272</v>
      </c>
      <c r="G264" s="22">
        <f>IF(B264&gt;G$26*G$27+G$33,0,(SUM(D$258:D263)*((1+G$22/G$23)^((B264-G$33)/(12/G$23))-1))-SUM(G$258:G263))</f>
        <v>0</v>
      </c>
      <c r="H264" s="2"/>
      <c r="J264" s="2">
        <f>I270*$G$34*0.3</f>
        <v>17.640200308455086</v>
      </c>
      <c r="K264" s="2">
        <f t="shared" si="38"/>
        <v>34.23736148562386</v>
      </c>
      <c r="L264" s="2">
        <f t="shared" si="39"/>
        <v>16.597161177168772</v>
      </c>
      <c r="M264" s="2">
        <f>IF(B264&lt;G$33,0,SUM(E265:E$390))</f>
        <v>1027.1208445687157</v>
      </c>
    </row>
    <row r="265" spans="1:13" ht="18.75">
      <c r="A265" s="8" t="s">
        <v>74</v>
      </c>
      <c r="B265" s="21">
        <v>7</v>
      </c>
      <c r="C265" s="22">
        <f t="shared" si="34"/>
        <v>0</v>
      </c>
      <c r="D265" s="22">
        <f t="shared" si="35"/>
        <v>0</v>
      </c>
      <c r="E265" s="22">
        <f t="shared" si="36"/>
        <v>34.23736148562386</v>
      </c>
      <c r="F265" s="22">
        <f t="shared" si="37"/>
        <v>10.704453001573498</v>
      </c>
      <c r="G265" s="22">
        <f>IF(B265&gt;G$26*G$27+G$33,0,(SUM(D$258:D264)*((1+G$22/G$23)^((B265-G$33)/(12/G$23))-1))-SUM(G$258:G264))</f>
        <v>0</v>
      </c>
      <c r="H265" s="2"/>
      <c r="K265" s="2">
        <f t="shared" si="38"/>
        <v>34.23736148562386</v>
      </c>
      <c r="L265" s="2">
        <f t="shared" si="39"/>
        <v>34.23736148562386</v>
      </c>
      <c r="M265" s="2">
        <f>IF(B265&lt;G$33,0,SUM(E266:E$390))</f>
        <v>992.883483083092</v>
      </c>
    </row>
    <row r="266" spans="1:13" ht="18.75">
      <c r="A266" s="8" t="s">
        <v>75</v>
      </c>
      <c r="B266" s="21">
        <v>8</v>
      </c>
      <c r="C266" s="22">
        <f t="shared" si="34"/>
        <v>0</v>
      </c>
      <c r="D266" s="22">
        <f t="shared" si="35"/>
        <v>0</v>
      </c>
      <c r="E266" s="22">
        <f t="shared" si="36"/>
        <v>34.23736148562386</v>
      </c>
      <c r="F266" s="22">
        <f t="shared" si="37"/>
        <v>10.335333932553722</v>
      </c>
      <c r="G266" s="22">
        <f>IF(B266&gt;G$26*G$27+G$33,0,(SUM(D$258:D265)*((1+G$22/G$23)^((B266-G$33)/(12/G$23))-1))-SUM(G$258:G265))</f>
        <v>0</v>
      </c>
      <c r="H266" s="2"/>
      <c r="K266" s="2">
        <f t="shared" si="38"/>
        <v>34.23736148562386</v>
      </c>
      <c r="L266" s="2">
        <f t="shared" si="39"/>
        <v>34.23736148562386</v>
      </c>
      <c r="M266" s="2">
        <f>IF(B266&lt;G$33,0,SUM(E267:E$390))</f>
        <v>958.6461215974681</v>
      </c>
    </row>
    <row r="267" spans="1:13" ht="18.75">
      <c r="A267" s="8" t="s">
        <v>55</v>
      </c>
      <c r="B267" s="21">
        <v>9</v>
      </c>
      <c r="C267" s="22">
        <f t="shared" si="34"/>
        <v>0</v>
      </c>
      <c r="D267" s="22">
        <f t="shared" si="35"/>
        <v>0</v>
      </c>
      <c r="E267" s="22">
        <f t="shared" si="36"/>
        <v>34.23736148562386</v>
      </c>
      <c r="F267" s="22">
        <f t="shared" si="37"/>
        <v>9.966214863533947</v>
      </c>
      <c r="G267" s="22">
        <f>IF(B267&gt;G$26*G$27+G$33,0,(SUM(D$258:D266)*((1+G$22/G$23)^((B267-G$33)/(12/G$23))-1))-SUM(G$258:G266))</f>
        <v>0</v>
      </c>
      <c r="H267" s="2"/>
      <c r="J267" s="2">
        <f>I270*$G$34*0.3</f>
        <v>17.640200308455086</v>
      </c>
      <c r="K267" s="2">
        <f t="shared" si="38"/>
        <v>34.23736148562386</v>
      </c>
      <c r="L267" s="2">
        <f>C267+E267-J264+D267</f>
        <v>16.597161177168772</v>
      </c>
      <c r="M267" s="2">
        <f>IF(B267&lt;G$33,0,SUM(E268:E$390))</f>
        <v>924.4087601118442</v>
      </c>
    </row>
    <row r="268" spans="1:13" ht="18.75">
      <c r="A268" s="8" t="s">
        <v>49</v>
      </c>
      <c r="B268" s="21">
        <v>10</v>
      </c>
      <c r="C268" s="22">
        <f t="shared" si="34"/>
        <v>0</v>
      </c>
      <c r="D268" s="22">
        <f t="shared" si="35"/>
        <v>0</v>
      </c>
      <c r="E268" s="22">
        <f t="shared" si="36"/>
        <v>34.23736148562386</v>
      </c>
      <c r="F268" s="22">
        <f t="shared" si="37"/>
        <v>9.597095794514171</v>
      </c>
      <c r="G268" s="22">
        <f>IF(B268&gt;G$26*G$27+G$33,0,(SUM(D$258:D267)*((1+G$22/G$23)^((B268-G$33)/(12/G$23))-1))-SUM(G$258:G267))</f>
        <v>0</v>
      </c>
      <c r="H268" s="2"/>
      <c r="K268" s="2">
        <f t="shared" si="38"/>
        <v>34.23736148562386</v>
      </c>
      <c r="L268" s="2">
        <f aca="true" t="shared" si="40" ref="L268:L299">C268+E268-J268+D268</f>
        <v>34.23736148562386</v>
      </c>
      <c r="M268" s="2">
        <f>IF(B268&lt;G$33,0,SUM(E269:E$390))</f>
        <v>890.1713986262204</v>
      </c>
    </row>
    <row r="269" spans="1:13" ht="18.75">
      <c r="A269" s="8" t="s">
        <v>76</v>
      </c>
      <c r="B269" s="21">
        <v>11</v>
      </c>
      <c r="C269" s="22">
        <f t="shared" si="34"/>
        <v>0</v>
      </c>
      <c r="D269" s="22">
        <f t="shared" si="35"/>
        <v>0</v>
      </c>
      <c r="E269" s="22">
        <f t="shared" si="36"/>
        <v>34.23736148562386</v>
      </c>
      <c r="F269" s="22">
        <f t="shared" si="37"/>
        <v>9.227976725494395</v>
      </c>
      <c r="G269" s="22">
        <f>IF(B269&gt;G$26*G$27+G$33,0,(SUM(D$258:D268)*((1+G$22/G$23)^((B269-G$33)/(12/G$23))-1))-SUM(G$258:G268))</f>
        <v>0</v>
      </c>
      <c r="H269" s="2"/>
      <c r="K269" s="2">
        <f t="shared" si="38"/>
        <v>34.23736148562386</v>
      </c>
      <c r="L269" s="2">
        <f t="shared" si="40"/>
        <v>34.23736148562386</v>
      </c>
      <c r="M269" s="2">
        <f>IF(B269&lt;G$33,0,SUM(E270:E$390))</f>
        <v>855.9340371405965</v>
      </c>
    </row>
    <row r="270" spans="1:13" ht="18.75">
      <c r="A270" s="8" t="s">
        <v>50</v>
      </c>
      <c r="B270" s="21">
        <v>12</v>
      </c>
      <c r="C270" s="22">
        <f t="shared" si="34"/>
        <v>0</v>
      </c>
      <c r="D270" s="22">
        <f t="shared" si="35"/>
        <v>0</v>
      </c>
      <c r="E270" s="22">
        <f t="shared" si="36"/>
        <v>34.23736148562386</v>
      </c>
      <c r="F270" s="22">
        <f t="shared" si="37"/>
        <v>8.858857656474619</v>
      </c>
      <c r="G270" s="22">
        <f>IF(B270&gt;G$26*G$27+G$33,0,(SUM(D$258:D269)*((1+G$22/G$23)^((B270-G$33)/(12/G$23))-1))-SUM(G$258:G269))</f>
        <v>0</v>
      </c>
      <c r="H270" s="2"/>
      <c r="I270" s="2">
        <f>SUM(F259:F270)-SUM(G259:G270)</f>
        <v>130.66815043300062</v>
      </c>
      <c r="J270" s="2">
        <f>I270*$G$34*0.25</f>
        <v>14.70016692371257</v>
      </c>
      <c r="K270" s="2">
        <f t="shared" si="38"/>
        <v>34.23736148562386</v>
      </c>
      <c r="L270" s="2">
        <f t="shared" si="40"/>
        <v>19.537194561911285</v>
      </c>
      <c r="M270" s="2">
        <f>IF(B270&lt;G$33,0,SUM(E271:E$390))</f>
        <v>821.6966756549726</v>
      </c>
    </row>
    <row r="271" spans="1:13" ht="18.75">
      <c r="A271" s="8" t="s">
        <v>51</v>
      </c>
      <c r="B271" s="21">
        <v>13</v>
      </c>
      <c r="D271" s="22">
        <f aca="true" t="shared" si="41" ref="D271:D302">IF(B271=$G$26*G$27+G$33,-G$19*G$21*((1+G$22/G$23)^(G$26*G$23)),0)</f>
        <v>0</v>
      </c>
      <c r="E271" s="22">
        <f aca="true" t="shared" si="42" ref="E271:E302">IF(B271&lt;$G$33,0,IF(B271&lt;=G$26*G$27+$G$33-1,+(G$18*12/G$27),0))</f>
        <v>34.23736148562386</v>
      </c>
      <c r="F271" s="22">
        <f aca="true" t="shared" si="43" ref="F271:F302">IF(B271&lt;G$33,0,(+G$18*G$26*G$27-G$19)/SUM(M$259:M$390)*M271)</f>
        <v>8.489738587454843</v>
      </c>
      <c r="G271" s="22">
        <f>IF(B271&gt;G$26*G$27+G$33,0,(SUM(D$258:D270)*((1+G$22/G$23)^((B271-G$33)/(12/G$23))-1))-SUM(G$258:G270))</f>
        <v>0</v>
      </c>
      <c r="H271" s="2"/>
      <c r="K271" s="2">
        <f t="shared" si="38"/>
        <v>34.23736148562386</v>
      </c>
      <c r="L271" s="2">
        <f t="shared" si="40"/>
        <v>34.23736148562386</v>
      </c>
      <c r="M271" s="2">
        <f>IF(B271&lt;G$33,0,SUM(E272:E$390))</f>
        <v>787.4593141693488</v>
      </c>
    </row>
    <row r="272" spans="1:13" ht="18.75">
      <c r="A272" s="8" t="s">
        <v>72</v>
      </c>
      <c r="B272" s="21">
        <v>14</v>
      </c>
      <c r="D272" s="22">
        <f t="shared" si="41"/>
        <v>0</v>
      </c>
      <c r="E272" s="22">
        <f t="shared" si="42"/>
        <v>34.23736148562386</v>
      </c>
      <c r="F272" s="22">
        <f t="shared" si="43"/>
        <v>8.120619518435067</v>
      </c>
      <c r="G272" s="22">
        <f>IF(B272&gt;G$26*G$27+G$33,0,(SUM(D$258:D271)*((1+G$22/G$23)^((B272-G$33)/(12/G$23))-1))-SUM(G$258:G271))</f>
        <v>0</v>
      </c>
      <c r="H272" s="2"/>
      <c r="K272" s="2">
        <f t="shared" si="38"/>
        <v>34.23736148562386</v>
      </c>
      <c r="L272" s="2">
        <f t="shared" si="40"/>
        <v>34.23736148562386</v>
      </c>
      <c r="M272" s="2">
        <f>IF(B272&lt;G$33,0,SUM(E273:E$390))</f>
        <v>753.2219526837249</v>
      </c>
    </row>
    <row r="273" spans="1:13" ht="18.75">
      <c r="A273" s="8" t="s">
        <v>52</v>
      </c>
      <c r="B273" s="21">
        <v>15</v>
      </c>
      <c r="D273" s="22">
        <f t="shared" si="41"/>
        <v>0</v>
      </c>
      <c r="E273" s="22">
        <f t="shared" si="42"/>
        <v>34.23736148562386</v>
      </c>
      <c r="F273" s="22">
        <f t="shared" si="43"/>
        <v>7.751500449415292</v>
      </c>
      <c r="G273" s="22">
        <f>IF(B273&gt;G$26*G$27+G$33,0,(SUM(D$258:D272)*((1+G$22/G$23)^((B273-G$33)/(12/G$23))-1))-SUM(G$258:G272))</f>
        <v>0</v>
      </c>
      <c r="H273" s="2"/>
      <c r="J273" s="2">
        <f>I282*G$34*0.15</f>
        <v>5.23226280335532</v>
      </c>
      <c r="K273" s="2">
        <f t="shared" si="38"/>
        <v>34.23736148562386</v>
      </c>
      <c r="L273" s="2">
        <f t="shared" si="40"/>
        <v>29.00509868226854</v>
      </c>
      <c r="M273" s="2">
        <f>IF(B273&lt;G$33,0,SUM(E274:E$390))</f>
        <v>718.984591198101</v>
      </c>
    </row>
    <row r="274" spans="1:13" ht="18.75">
      <c r="A274" s="8" t="s">
        <v>73</v>
      </c>
      <c r="B274" s="21">
        <v>16</v>
      </c>
      <c r="D274" s="22">
        <f t="shared" si="41"/>
        <v>0</v>
      </c>
      <c r="E274" s="22">
        <f t="shared" si="42"/>
        <v>34.23736148562386</v>
      </c>
      <c r="F274" s="22">
        <f t="shared" si="43"/>
        <v>7.382381380395516</v>
      </c>
      <c r="G274" s="22">
        <f>IF(B274&gt;G$26*G$27+G$33,0,(SUM(D$258:D273)*((1+G$22/G$23)^((B274-G$33)/(12/G$23))-1))-SUM(G$258:G273))</f>
        <v>0</v>
      </c>
      <c r="H274" s="2"/>
      <c r="K274" s="2">
        <f t="shared" si="38"/>
        <v>34.23736148562386</v>
      </c>
      <c r="L274" s="2">
        <f t="shared" si="40"/>
        <v>34.23736148562386</v>
      </c>
      <c r="M274" s="2">
        <f>IF(B274&lt;G$33,0,SUM(E275:E$390))</f>
        <v>684.7472297124772</v>
      </c>
    </row>
    <row r="275" spans="1:13" ht="18.75">
      <c r="A275" s="8" t="s">
        <v>53</v>
      </c>
      <c r="B275" s="21">
        <v>17</v>
      </c>
      <c r="D275" s="22">
        <f t="shared" si="41"/>
        <v>0</v>
      </c>
      <c r="E275" s="22">
        <f t="shared" si="42"/>
        <v>34.23736148562386</v>
      </c>
      <c r="F275" s="22">
        <f t="shared" si="43"/>
        <v>7.0132623113757395</v>
      </c>
      <c r="G275" s="22">
        <f>IF(B275&gt;G$26*G$27+G$33,0,(SUM(D$258:D274)*((1+G$22/G$23)^((B275-G$33)/(12/G$23))-1))-SUM(G$258:G274))</f>
        <v>0</v>
      </c>
      <c r="H275" s="2"/>
      <c r="K275" s="2">
        <f t="shared" si="38"/>
        <v>34.23736148562386</v>
      </c>
      <c r="L275" s="2">
        <f t="shared" si="40"/>
        <v>34.23736148562386</v>
      </c>
      <c r="M275" s="2">
        <f>IF(B275&lt;G$33,0,SUM(E276:E$390))</f>
        <v>650.5098682268533</v>
      </c>
    </row>
    <row r="276" spans="1:13" ht="18.75">
      <c r="A276" s="8" t="s">
        <v>54</v>
      </c>
      <c r="B276" s="21">
        <v>18</v>
      </c>
      <c r="D276" s="22">
        <f t="shared" si="41"/>
        <v>0</v>
      </c>
      <c r="E276" s="22">
        <f t="shared" si="42"/>
        <v>34.23736148562386</v>
      </c>
      <c r="F276" s="22">
        <f t="shared" si="43"/>
        <v>6.644143242355964</v>
      </c>
      <c r="G276" s="22">
        <f>IF(B276&gt;G$26*G$27+G$33,0,(SUM(D$258:D275)*((1+G$22/G$23)^((B276-G$33)/(12/G$23))-1))-SUM(G$258:G275))</f>
        <v>0</v>
      </c>
      <c r="H276" s="2"/>
      <c r="J276" s="2">
        <f>I282*$G$34*0.3</f>
        <v>10.46452560671064</v>
      </c>
      <c r="K276" s="2">
        <f t="shared" si="38"/>
        <v>34.23736148562386</v>
      </c>
      <c r="L276" s="2">
        <f t="shared" si="40"/>
        <v>23.77283587891322</v>
      </c>
      <c r="M276" s="2">
        <f>IF(B276&lt;G$33,0,SUM(E277:E$390))</f>
        <v>616.2725067412294</v>
      </c>
    </row>
    <row r="277" spans="1:13" ht="18.75">
      <c r="A277" s="8" t="s">
        <v>74</v>
      </c>
      <c r="B277" s="21">
        <v>19</v>
      </c>
      <c r="D277" s="22">
        <f t="shared" si="41"/>
        <v>0</v>
      </c>
      <c r="E277" s="22">
        <f t="shared" si="42"/>
        <v>34.23736148562386</v>
      </c>
      <c r="F277" s="22">
        <f t="shared" si="43"/>
        <v>6.275024173336188</v>
      </c>
      <c r="G277" s="22">
        <f>IF(B277&gt;G$26*G$27+G$33,0,(SUM(D$258:D276)*((1+G$22/G$23)^((B277-G$33)/(12/G$23))-1))-SUM(G$258:G276))</f>
        <v>0</v>
      </c>
      <c r="H277" s="2"/>
      <c r="K277" s="2">
        <f t="shared" si="38"/>
        <v>34.23736148562386</v>
      </c>
      <c r="L277" s="2">
        <f t="shared" si="40"/>
        <v>34.23736148562386</v>
      </c>
      <c r="M277" s="2">
        <f>IF(B277&lt;G$33,0,SUM(E278:E$390))</f>
        <v>582.0351452556056</v>
      </c>
    </row>
    <row r="278" spans="1:13" ht="18.75">
      <c r="A278" s="8" t="s">
        <v>75</v>
      </c>
      <c r="B278" s="21">
        <v>20</v>
      </c>
      <c r="D278" s="22">
        <f t="shared" si="41"/>
        <v>0</v>
      </c>
      <c r="E278" s="22">
        <f t="shared" si="42"/>
        <v>34.23736148562386</v>
      </c>
      <c r="F278" s="22">
        <f t="shared" si="43"/>
        <v>5.905905104316412</v>
      </c>
      <c r="G278" s="22">
        <f>IF(B278&gt;G$26*G$27+G$33,0,(SUM(D$258:D277)*((1+G$22/G$23)^((B278-G$33)/(12/G$23))-1))-SUM(G$258:G277))</f>
        <v>0</v>
      </c>
      <c r="H278" s="2"/>
      <c r="K278" s="2">
        <f t="shared" si="38"/>
        <v>34.23736148562386</v>
      </c>
      <c r="L278" s="2">
        <f t="shared" si="40"/>
        <v>34.23736148562386</v>
      </c>
      <c r="M278" s="2">
        <f>IF(B278&lt;G$33,0,SUM(E279:E$390))</f>
        <v>547.7977837699817</v>
      </c>
    </row>
    <row r="279" spans="1:13" ht="18.75">
      <c r="A279" s="8" t="s">
        <v>55</v>
      </c>
      <c r="B279" s="21">
        <v>21</v>
      </c>
      <c r="D279" s="22">
        <f t="shared" si="41"/>
        <v>0</v>
      </c>
      <c r="E279" s="22">
        <f t="shared" si="42"/>
        <v>34.23736148562386</v>
      </c>
      <c r="F279" s="22">
        <f t="shared" si="43"/>
        <v>5.536786035296636</v>
      </c>
      <c r="G279" s="22">
        <f>IF(B279&gt;G$26*G$27+G$33,0,(SUM(D$258:D278)*((1+G$22/G$23)^((B279-G$33)/(12/G$23))-1))-SUM(G$258:G278))</f>
        <v>0</v>
      </c>
      <c r="H279" s="2"/>
      <c r="J279" s="2">
        <f>I282*$G$34*0.3</f>
        <v>10.46452560671064</v>
      </c>
      <c r="K279" s="2">
        <f t="shared" si="38"/>
        <v>34.23736148562386</v>
      </c>
      <c r="L279" s="2">
        <f t="shared" si="40"/>
        <v>23.77283587891322</v>
      </c>
      <c r="M279" s="2">
        <f>IF(B279&lt;G$33,0,SUM(E280:E$390))</f>
        <v>513.5604222843579</v>
      </c>
    </row>
    <row r="280" spans="1:13" ht="18.75">
      <c r="A280" s="8" t="s">
        <v>49</v>
      </c>
      <c r="B280" s="21">
        <v>22</v>
      </c>
      <c r="D280" s="22">
        <f t="shared" si="41"/>
        <v>0</v>
      </c>
      <c r="E280" s="22">
        <f t="shared" si="42"/>
        <v>34.23736148562386</v>
      </c>
      <c r="F280" s="22">
        <f t="shared" si="43"/>
        <v>5.167666966276861</v>
      </c>
      <c r="G280" s="22">
        <f>IF(B280&gt;G$26*G$27+G$33,0,(SUM(D$258:D279)*((1+G$22/G$23)^((B280-G$33)/(12/G$23))-1))-SUM(G$258:G279))</f>
        <v>0</v>
      </c>
      <c r="H280" s="2"/>
      <c r="K280" s="2">
        <f t="shared" si="38"/>
        <v>34.23736148562386</v>
      </c>
      <c r="L280" s="2">
        <f t="shared" si="40"/>
        <v>34.23736148562386</v>
      </c>
      <c r="M280" s="2">
        <f>IF(B280&lt;G$33,0,SUM(E281:E$390))</f>
        <v>479.32306079873405</v>
      </c>
    </row>
    <row r="281" spans="1:13" ht="18.75">
      <c r="A281" s="8" t="s">
        <v>76</v>
      </c>
      <c r="B281" s="21">
        <v>23</v>
      </c>
      <c r="D281" s="22">
        <f t="shared" si="41"/>
        <v>0</v>
      </c>
      <c r="E281" s="22">
        <f t="shared" si="42"/>
        <v>34.23736148562386</v>
      </c>
      <c r="F281" s="22">
        <f t="shared" si="43"/>
        <v>4.798547897257086</v>
      </c>
      <c r="G281" s="22">
        <f>IF(B281&gt;G$26*G$27+G$33,0,(SUM(D$258:D280)*((1+G$22/G$23)^((B281-G$33)/(12/G$23))-1))-SUM(G$258:G280))</f>
        <v>0</v>
      </c>
      <c r="H281" s="2"/>
      <c r="K281" s="2">
        <f t="shared" si="38"/>
        <v>34.23736148562386</v>
      </c>
      <c r="L281" s="2">
        <f t="shared" si="40"/>
        <v>34.23736148562386</v>
      </c>
      <c r="M281" s="2">
        <f>IF(B281&lt;G$33,0,SUM(E282:E$390))</f>
        <v>445.0856993131102</v>
      </c>
    </row>
    <row r="282" spans="1:13" ht="18.75">
      <c r="A282" s="8" t="s">
        <v>50</v>
      </c>
      <c r="B282" s="21">
        <v>24</v>
      </c>
      <c r="D282" s="22">
        <f t="shared" si="41"/>
        <v>0</v>
      </c>
      <c r="E282" s="22">
        <f t="shared" si="42"/>
        <v>34.23736148562386</v>
      </c>
      <c r="F282" s="22">
        <f t="shared" si="43"/>
        <v>4.4294288282373095</v>
      </c>
      <c r="G282" s="22">
        <f>IF(B282&gt;G$26*G$27+G$33,0,(SUM(D$258:D281)*((1+G$22/G$23)^((B282-G$33)/(12/G$23))-1))-SUM(G$258:G281))</f>
        <v>0</v>
      </c>
      <c r="H282" s="2"/>
      <c r="I282" s="2">
        <f>SUM(F271:F282)-SUM(G271:G282)</f>
        <v>77.51500449415289</v>
      </c>
      <c r="J282" s="2">
        <f>I282*$G$34*0.25</f>
        <v>8.7204380055922</v>
      </c>
      <c r="K282" s="2">
        <f t="shared" si="38"/>
        <v>34.23736148562386</v>
      </c>
      <c r="L282" s="2">
        <f t="shared" si="40"/>
        <v>25.516923480031657</v>
      </c>
      <c r="M282" s="2">
        <f>IF(B282&lt;G$33,0,SUM(E283:E$390))</f>
        <v>410.8483378274863</v>
      </c>
    </row>
    <row r="283" spans="1:13" ht="18.75">
      <c r="A283" s="8" t="s">
        <v>51</v>
      </c>
      <c r="B283" s="21">
        <v>25</v>
      </c>
      <c r="D283" s="22">
        <f t="shared" si="41"/>
        <v>0</v>
      </c>
      <c r="E283" s="22">
        <f t="shared" si="42"/>
        <v>34.23736148562386</v>
      </c>
      <c r="F283" s="22">
        <f t="shared" si="43"/>
        <v>4.0603097592175335</v>
      </c>
      <c r="G283" s="22">
        <f>IF(B283&gt;G$26*G$27+G$33,0,(SUM(D$258:D282)*((1+G$22/G$23)^((B283-G$33)/(12/G$23))-1))-SUM(G$258:G282))</f>
        <v>0</v>
      </c>
      <c r="H283" s="2"/>
      <c r="K283" s="2">
        <f t="shared" si="38"/>
        <v>34.23736148562386</v>
      </c>
      <c r="L283" s="2">
        <f t="shared" si="40"/>
        <v>34.23736148562386</v>
      </c>
      <c r="M283" s="2">
        <f>IF(B283&lt;G$33,0,SUM(E284:E$390))</f>
        <v>376.61097634186245</v>
      </c>
    </row>
    <row r="284" spans="1:13" ht="18.75">
      <c r="A284" s="8" t="s">
        <v>72</v>
      </c>
      <c r="B284" s="21">
        <v>26</v>
      </c>
      <c r="D284" s="22">
        <f t="shared" si="41"/>
        <v>0</v>
      </c>
      <c r="E284" s="22">
        <f t="shared" si="42"/>
        <v>34.23736148562386</v>
      </c>
      <c r="F284" s="22">
        <f t="shared" si="43"/>
        <v>3.691190690197758</v>
      </c>
      <c r="G284" s="22">
        <f>IF(B284&gt;G$26*G$27+G$33,0,(SUM(D$258:D283)*((1+G$22/G$23)^((B284-G$33)/(12/G$23))-1))-SUM(G$258:G283))</f>
        <v>0</v>
      </c>
      <c r="H284" s="2"/>
      <c r="K284" s="2">
        <f t="shared" si="38"/>
        <v>34.23736148562386</v>
      </c>
      <c r="L284" s="2">
        <f t="shared" si="40"/>
        <v>34.23736148562386</v>
      </c>
      <c r="M284" s="2">
        <f>IF(B284&lt;G$33,0,SUM(E285:E$390))</f>
        <v>342.3736148562386</v>
      </c>
    </row>
    <row r="285" spans="1:13" ht="18.75">
      <c r="A285" s="8" t="s">
        <v>52</v>
      </c>
      <c r="B285" s="21">
        <v>27</v>
      </c>
      <c r="D285" s="22">
        <f t="shared" si="41"/>
        <v>0</v>
      </c>
      <c r="E285" s="22">
        <f t="shared" si="42"/>
        <v>34.23736148562386</v>
      </c>
      <c r="F285" s="22">
        <f t="shared" si="43"/>
        <v>3.322071621177982</v>
      </c>
      <c r="G285" s="22">
        <f>IF(B285&gt;G$26*G$27+G$33,0,(SUM(D$258:D284)*((1+G$22/G$23)^((B285-G$33)/(12/G$23))-1))-SUM(G$258:G284))</f>
        <v>0</v>
      </c>
      <c r="H285" s="2"/>
      <c r="J285" s="2">
        <f>I294*G$34*0.15</f>
        <v>1.644425452483101</v>
      </c>
      <c r="K285" s="2">
        <f t="shared" si="38"/>
        <v>34.23736148562386</v>
      </c>
      <c r="L285" s="2">
        <f t="shared" si="40"/>
        <v>32.59293603314076</v>
      </c>
      <c r="M285" s="2">
        <f>IF(B285&lt;G$33,0,SUM(E286:E$390))</f>
        <v>308.1362533706147</v>
      </c>
    </row>
    <row r="286" spans="1:13" ht="18.75">
      <c r="A286" s="8" t="s">
        <v>73</v>
      </c>
      <c r="B286" s="21">
        <v>28</v>
      </c>
      <c r="D286" s="22">
        <f t="shared" si="41"/>
        <v>0</v>
      </c>
      <c r="E286" s="22">
        <f t="shared" si="42"/>
        <v>34.23736148562386</v>
      </c>
      <c r="F286" s="22">
        <f t="shared" si="43"/>
        <v>2.952952552158206</v>
      </c>
      <c r="G286" s="22">
        <f>IF(B286&gt;G$26*G$27+G$33,0,(SUM(D$258:D285)*((1+G$22/G$23)^((B286-G$33)/(12/G$23))-1))-SUM(G$258:G285))</f>
        <v>0</v>
      </c>
      <c r="H286" s="2"/>
      <c r="K286" s="2">
        <f t="shared" si="38"/>
        <v>34.23736148562386</v>
      </c>
      <c r="L286" s="2">
        <f t="shared" si="40"/>
        <v>34.23736148562386</v>
      </c>
      <c r="M286" s="2">
        <f>IF(B286&lt;G$33,0,SUM(E287:E$390))</f>
        <v>273.89889188499086</v>
      </c>
    </row>
    <row r="287" spans="1:13" ht="18.75">
      <c r="A287" s="8" t="s">
        <v>53</v>
      </c>
      <c r="B287" s="21">
        <v>29</v>
      </c>
      <c r="D287" s="22">
        <f t="shared" si="41"/>
        <v>0</v>
      </c>
      <c r="E287" s="22">
        <f t="shared" si="42"/>
        <v>34.23736148562386</v>
      </c>
      <c r="F287" s="22">
        <f t="shared" si="43"/>
        <v>2.5838334831384304</v>
      </c>
      <c r="G287" s="22">
        <f>IF(B287&gt;G$26*G$27+G$33,0,(SUM(D$258:D286)*((1+G$22/G$23)^((B287-G$33)/(12/G$23))-1))-SUM(G$258:G286))</f>
        <v>0</v>
      </c>
      <c r="H287" s="2"/>
      <c r="K287" s="2">
        <f t="shared" si="38"/>
        <v>34.23736148562386</v>
      </c>
      <c r="L287" s="2">
        <f t="shared" si="40"/>
        <v>34.23736148562386</v>
      </c>
      <c r="M287" s="2">
        <f>IF(B287&lt;G$33,0,SUM(E288:E$390))</f>
        <v>239.66153039936702</v>
      </c>
    </row>
    <row r="288" spans="1:13" ht="18.75">
      <c r="A288" s="8" t="s">
        <v>54</v>
      </c>
      <c r="B288" s="21">
        <v>30</v>
      </c>
      <c r="D288" s="22">
        <f t="shared" si="41"/>
        <v>0</v>
      </c>
      <c r="E288" s="22">
        <f t="shared" si="42"/>
        <v>34.23736148562386</v>
      </c>
      <c r="F288" s="22">
        <f t="shared" si="43"/>
        <v>2.2147144141186548</v>
      </c>
      <c r="G288" s="22">
        <f>IF(B288&gt;G$26*G$27+G$33,0,(SUM(D$258:D287)*((1+G$22/G$23)^((B288-G$33)/(12/G$23))-1))-SUM(G$258:G287))</f>
        <v>0</v>
      </c>
      <c r="H288" s="2"/>
      <c r="J288" s="2">
        <f>I294*$G$34*0.3</f>
        <v>3.288850904966202</v>
      </c>
      <c r="K288" s="2">
        <f t="shared" si="38"/>
        <v>34.23736148562386</v>
      </c>
      <c r="L288" s="2">
        <f t="shared" si="40"/>
        <v>30.948510580657654</v>
      </c>
      <c r="M288" s="2">
        <f>IF(B288&lt;G$33,0,SUM(E289:E$390))</f>
        <v>205.42416891374316</v>
      </c>
    </row>
    <row r="289" spans="1:13" ht="18.75">
      <c r="A289" s="8" t="s">
        <v>74</v>
      </c>
      <c r="B289" s="21">
        <v>31</v>
      </c>
      <c r="D289" s="22">
        <f t="shared" si="41"/>
        <v>0</v>
      </c>
      <c r="E289" s="22">
        <f t="shared" si="42"/>
        <v>34.23736148562386</v>
      </c>
      <c r="F289" s="22">
        <f t="shared" si="43"/>
        <v>1.845595345098879</v>
      </c>
      <c r="G289" s="22">
        <f>IF(B289&gt;G$26*G$27+G$33,0,(SUM(D$258:D288)*((1+G$22/G$23)^((B289-G$33)/(12/G$23))-1))-SUM(G$258:G288))</f>
        <v>0</v>
      </c>
      <c r="H289" s="2"/>
      <c r="K289" s="2">
        <f t="shared" si="38"/>
        <v>34.23736148562386</v>
      </c>
      <c r="L289" s="2">
        <f t="shared" si="40"/>
        <v>34.23736148562386</v>
      </c>
      <c r="M289" s="2">
        <f>IF(B289&lt;G$33,0,SUM(E290:E$390))</f>
        <v>171.1868074281193</v>
      </c>
    </row>
    <row r="290" spans="1:13" ht="18.75">
      <c r="A290" s="8" t="s">
        <v>75</v>
      </c>
      <c r="B290" s="21">
        <v>32</v>
      </c>
      <c r="D290" s="22">
        <f t="shared" si="41"/>
        <v>0</v>
      </c>
      <c r="E290" s="22">
        <f t="shared" si="42"/>
        <v>34.23736148562386</v>
      </c>
      <c r="F290" s="22">
        <f t="shared" si="43"/>
        <v>1.476476276079103</v>
      </c>
      <c r="G290" s="22">
        <f>IF(B290&gt;G$26*G$27+G$33,0,(SUM(D$258:D289)*((1+G$22/G$23)^((B290-G$33)/(12/G$23))-1))-SUM(G$258:G289))</f>
        <v>0</v>
      </c>
      <c r="H290" s="2"/>
      <c r="K290" s="2">
        <f t="shared" si="38"/>
        <v>34.23736148562386</v>
      </c>
      <c r="L290" s="2">
        <f t="shared" si="40"/>
        <v>34.23736148562386</v>
      </c>
      <c r="M290" s="2">
        <f>IF(B290&lt;G$33,0,SUM(E291:E$390))</f>
        <v>136.94944594249543</v>
      </c>
    </row>
    <row r="291" spans="1:13" ht="18.75">
      <c r="A291" s="8" t="s">
        <v>55</v>
      </c>
      <c r="B291" s="21">
        <v>33</v>
      </c>
      <c r="D291" s="22">
        <f t="shared" si="41"/>
        <v>0</v>
      </c>
      <c r="E291" s="22">
        <f t="shared" si="42"/>
        <v>34.23736148562386</v>
      </c>
      <c r="F291" s="22">
        <f t="shared" si="43"/>
        <v>1.1073572070593272</v>
      </c>
      <c r="G291" s="22">
        <f>IF(B291&gt;G$26*G$27+G$33,0,(SUM(D$258:D290)*((1+G$22/G$23)^((B291-G$33)/(12/G$23))-1))-SUM(G$258:G290))</f>
        <v>0</v>
      </c>
      <c r="H291" s="2"/>
      <c r="J291" s="2">
        <f>I294*$G$34*0.3</f>
        <v>3.288850904966202</v>
      </c>
      <c r="K291" s="2">
        <f aca="true" t="shared" si="44" ref="K291:K322">C291+D291+E291</f>
        <v>34.23736148562386</v>
      </c>
      <c r="L291" s="2">
        <f t="shared" si="40"/>
        <v>30.948510580657654</v>
      </c>
      <c r="M291" s="2">
        <f>IF(B291&lt;G$33,0,SUM(E292:E$390))</f>
        <v>102.71208445687157</v>
      </c>
    </row>
    <row r="292" spans="1:13" ht="18.75">
      <c r="A292" s="8" t="s">
        <v>49</v>
      </c>
      <c r="B292" s="21">
        <v>34</v>
      </c>
      <c r="D292" s="22">
        <f t="shared" si="41"/>
        <v>0</v>
      </c>
      <c r="E292" s="22">
        <f t="shared" si="42"/>
        <v>34.23736148562386</v>
      </c>
      <c r="F292" s="22">
        <f t="shared" si="43"/>
        <v>0.7382381380395515</v>
      </c>
      <c r="G292" s="22">
        <f>IF(B292&gt;G$26*G$27+G$33,0,(SUM(D$258:D291)*((1+G$22/G$23)^((B292-G$33)/(12/G$23))-1))-SUM(G$258:G291))</f>
        <v>0</v>
      </c>
      <c r="H292" s="2"/>
      <c r="K292" s="2">
        <f t="shared" si="44"/>
        <v>34.23736148562386</v>
      </c>
      <c r="L292" s="2">
        <f t="shared" si="40"/>
        <v>34.23736148562386</v>
      </c>
      <c r="M292" s="2">
        <f>IF(B292&lt;G$33,0,SUM(E293:E$390))</f>
        <v>68.47472297124772</v>
      </c>
    </row>
    <row r="293" spans="1:13" ht="18.75">
      <c r="A293" s="8" t="s">
        <v>76</v>
      </c>
      <c r="B293" s="21">
        <v>35</v>
      </c>
      <c r="D293" s="22">
        <f t="shared" si="41"/>
        <v>0</v>
      </c>
      <c r="E293" s="22">
        <f t="shared" si="42"/>
        <v>34.23736148562386</v>
      </c>
      <c r="F293" s="22">
        <f t="shared" si="43"/>
        <v>0.36911906901977576</v>
      </c>
      <c r="G293" s="22">
        <f>IF(B293&gt;G$26*G$27+G$33,0,(SUM(D$258:D292)*((1+G$22/G$23)^((B293-G$33)/(12/G$23))-1))-SUM(G$258:G292))</f>
        <v>0</v>
      </c>
      <c r="H293" s="2"/>
      <c r="K293" s="2">
        <f t="shared" si="44"/>
        <v>34.23736148562386</v>
      </c>
      <c r="L293" s="2">
        <f t="shared" si="40"/>
        <v>34.23736148562386</v>
      </c>
      <c r="M293" s="2">
        <f>IF(B293&lt;G$33,0,SUM(E294:E$390))</f>
        <v>34.23736148562386</v>
      </c>
    </row>
    <row r="294" spans="1:13" ht="18.75">
      <c r="A294" s="8" t="s">
        <v>50</v>
      </c>
      <c r="B294" s="21">
        <v>36</v>
      </c>
      <c r="D294" s="22">
        <f t="shared" si="41"/>
        <v>0</v>
      </c>
      <c r="E294" s="22">
        <f t="shared" si="42"/>
        <v>34.23736148562386</v>
      </c>
      <c r="F294" s="22">
        <f t="shared" si="43"/>
        <v>0</v>
      </c>
      <c r="G294" s="22">
        <f>IF(B294&gt;G$26*G$27+G$33,0,(SUM(D$258:D293)*((1+G$22/G$23)^((B294-G$33)/(12/G$23))-1))-SUM(G$258:G293))</f>
        <v>0</v>
      </c>
      <c r="H294" s="2"/>
      <c r="I294" s="2">
        <f>SUM(F283:F294)-SUM(G283:G294)</f>
        <v>24.361858555305197</v>
      </c>
      <c r="J294" s="2">
        <f>I294*$G$34*0.25</f>
        <v>2.740709087471835</v>
      </c>
      <c r="K294" s="2">
        <f t="shared" si="44"/>
        <v>34.23736148562386</v>
      </c>
      <c r="L294" s="2">
        <f t="shared" si="40"/>
        <v>31.496652398152023</v>
      </c>
      <c r="M294" s="2">
        <f>IF(B294&lt;G$33,0,SUM(E295:E$390))</f>
        <v>0</v>
      </c>
    </row>
    <row r="295" spans="1:13" ht="18.75">
      <c r="A295" s="8" t="s">
        <v>51</v>
      </c>
      <c r="B295" s="21">
        <v>37</v>
      </c>
      <c r="D295" s="22">
        <f t="shared" si="41"/>
        <v>0</v>
      </c>
      <c r="E295" s="22">
        <f t="shared" si="42"/>
        <v>0</v>
      </c>
      <c r="F295" s="22">
        <f t="shared" si="43"/>
        <v>0</v>
      </c>
      <c r="G295" s="22">
        <f>IF(B295&gt;G$26*G$27+G$33,0,(SUM(D$258:D294)*((1+G$22/G$23)^((B295-G$33)/(12/G$23))-1))-SUM(G$258:G294))</f>
        <v>0</v>
      </c>
      <c r="H295" s="2"/>
      <c r="K295" s="2">
        <f t="shared" si="44"/>
        <v>0</v>
      </c>
      <c r="L295" s="2">
        <f t="shared" si="40"/>
        <v>0</v>
      </c>
      <c r="M295" s="2">
        <f>IF(B295&lt;G$33,0,SUM(E296:E$390))</f>
        <v>0</v>
      </c>
    </row>
    <row r="296" spans="1:13" ht="18.75">
      <c r="A296" s="8" t="s">
        <v>72</v>
      </c>
      <c r="B296" s="21">
        <v>38</v>
      </c>
      <c r="D296" s="22">
        <f t="shared" si="41"/>
        <v>0</v>
      </c>
      <c r="E296" s="22">
        <f t="shared" si="42"/>
        <v>0</v>
      </c>
      <c r="F296" s="22">
        <f t="shared" si="43"/>
        <v>0</v>
      </c>
      <c r="G296" s="22">
        <f>IF(B296&gt;G$26*G$27+G$33,0,(SUM(D$258:D295)*((1+G$22/G$23)^((B296-G$33)/(12/G$23))-1))-SUM(G$258:G295))</f>
        <v>0</v>
      </c>
      <c r="H296" s="2"/>
      <c r="K296" s="2">
        <f t="shared" si="44"/>
        <v>0</v>
      </c>
      <c r="L296" s="2">
        <f t="shared" si="40"/>
        <v>0</v>
      </c>
      <c r="M296" s="2">
        <f>IF(B296&lt;G$33,0,SUM(E297:E$390))</f>
        <v>0</v>
      </c>
    </row>
    <row r="297" spans="1:13" ht="18.75">
      <c r="A297" s="8" t="s">
        <v>52</v>
      </c>
      <c r="B297" s="21">
        <v>39</v>
      </c>
      <c r="D297" s="22">
        <f t="shared" si="41"/>
        <v>0</v>
      </c>
      <c r="E297" s="22">
        <f t="shared" si="42"/>
        <v>0</v>
      </c>
      <c r="F297" s="22">
        <f t="shared" si="43"/>
        <v>0</v>
      </c>
      <c r="G297" s="22">
        <f>IF(B297&gt;G$26*G$27+G$33,0,(SUM(D$258:D296)*((1+G$22/G$23)^((B297-G$33)/(12/G$23))-1))-SUM(G$258:G296))</f>
        <v>0</v>
      </c>
      <c r="H297" s="2"/>
      <c r="J297" s="2">
        <f>I306*G$34*0.15</f>
        <v>0</v>
      </c>
      <c r="K297" s="2">
        <f t="shared" si="44"/>
        <v>0</v>
      </c>
      <c r="L297" s="2">
        <f t="shared" si="40"/>
        <v>0</v>
      </c>
      <c r="M297" s="2">
        <f>IF(B297&lt;G$33,0,SUM(E298:E$390))</f>
        <v>0</v>
      </c>
    </row>
    <row r="298" spans="1:13" ht="18.75">
      <c r="A298" s="8" t="s">
        <v>73</v>
      </c>
      <c r="B298" s="21">
        <v>40</v>
      </c>
      <c r="D298" s="22">
        <f t="shared" si="41"/>
        <v>0</v>
      </c>
      <c r="E298" s="22">
        <f t="shared" si="42"/>
        <v>0</v>
      </c>
      <c r="F298" s="22">
        <f t="shared" si="43"/>
        <v>0</v>
      </c>
      <c r="G298" s="22">
        <f>IF(B298&gt;G$26*G$27+G$33,0,(SUM(D$258:D297)*((1+G$22/G$23)^((B298-G$33)/(12/G$23))-1))-SUM(G$258:G297))</f>
        <v>0</v>
      </c>
      <c r="H298" s="2"/>
      <c r="K298" s="2">
        <f t="shared" si="44"/>
        <v>0</v>
      </c>
      <c r="L298" s="2">
        <f t="shared" si="40"/>
        <v>0</v>
      </c>
      <c r="M298" s="2">
        <f>IF(B298&lt;G$33,0,SUM(E299:E$390))</f>
        <v>0</v>
      </c>
    </row>
    <row r="299" spans="1:13" ht="18.75">
      <c r="A299" s="8" t="s">
        <v>53</v>
      </c>
      <c r="B299" s="21">
        <v>41</v>
      </c>
      <c r="D299" s="22">
        <f t="shared" si="41"/>
        <v>0</v>
      </c>
      <c r="E299" s="22">
        <f t="shared" si="42"/>
        <v>0</v>
      </c>
      <c r="F299" s="22">
        <f t="shared" si="43"/>
        <v>0</v>
      </c>
      <c r="G299" s="22">
        <f>IF(B299&gt;G$26*G$27+G$33,0,(SUM(D$258:D298)*((1+G$22/G$23)^((B299-G$33)/(12/G$23))-1))-SUM(G$258:G298))</f>
        <v>0</v>
      </c>
      <c r="H299" s="2"/>
      <c r="K299" s="2">
        <f t="shared" si="44"/>
        <v>0</v>
      </c>
      <c r="L299" s="2">
        <f t="shared" si="40"/>
        <v>0</v>
      </c>
      <c r="M299" s="2">
        <f>IF(B299&lt;G$33,0,SUM(E300:E$390))</f>
        <v>0</v>
      </c>
    </row>
    <row r="300" spans="1:13" ht="18.75">
      <c r="A300" s="8" t="s">
        <v>54</v>
      </c>
      <c r="B300" s="21">
        <v>42</v>
      </c>
      <c r="D300" s="22">
        <f t="shared" si="41"/>
        <v>0</v>
      </c>
      <c r="E300" s="22">
        <f t="shared" si="42"/>
        <v>0</v>
      </c>
      <c r="F300" s="22">
        <f t="shared" si="43"/>
        <v>0</v>
      </c>
      <c r="G300" s="22">
        <f>IF(B300&gt;G$26*G$27+G$33,0,(SUM(D$258:D299)*((1+G$22/G$23)^((B300-G$33)/(12/G$23))-1))-SUM(G$258:G299))</f>
        <v>0</v>
      </c>
      <c r="H300" s="2"/>
      <c r="J300" s="2">
        <f>I306*$G$34*0.3</f>
        <v>0</v>
      </c>
      <c r="K300" s="2">
        <f t="shared" si="44"/>
        <v>0</v>
      </c>
      <c r="L300" s="2">
        <f aca="true" t="shared" si="45" ref="L300:L331">C300+E300-J300+D300</f>
        <v>0</v>
      </c>
      <c r="M300" s="2">
        <f>IF(B300&lt;G$33,0,SUM(E301:E$390))</f>
        <v>0</v>
      </c>
    </row>
    <row r="301" spans="1:13" ht="18.75">
      <c r="A301" s="8" t="s">
        <v>74</v>
      </c>
      <c r="B301" s="21">
        <v>43</v>
      </c>
      <c r="D301" s="22">
        <f t="shared" si="41"/>
        <v>0</v>
      </c>
      <c r="E301" s="22">
        <f t="shared" si="42"/>
        <v>0</v>
      </c>
      <c r="F301" s="22">
        <f t="shared" si="43"/>
        <v>0</v>
      </c>
      <c r="G301" s="22">
        <f>IF(B301&gt;G$26*G$27+G$33,0,(SUM(D$258:D300)*((1+G$22/G$23)^((B301-G$33)/(12/G$23))-1))-SUM(G$258:G300))</f>
        <v>0</v>
      </c>
      <c r="H301" s="2"/>
      <c r="K301" s="2">
        <f t="shared" si="44"/>
        <v>0</v>
      </c>
      <c r="L301" s="2">
        <f t="shared" si="45"/>
        <v>0</v>
      </c>
      <c r="M301" s="2">
        <f>IF(B301&lt;G$33,0,SUM(E302:E$390))</f>
        <v>0</v>
      </c>
    </row>
    <row r="302" spans="1:13" ht="18.75">
      <c r="A302" s="8" t="s">
        <v>75</v>
      </c>
      <c r="B302" s="21">
        <v>44</v>
      </c>
      <c r="D302" s="22">
        <f t="shared" si="41"/>
        <v>0</v>
      </c>
      <c r="E302" s="22">
        <f t="shared" si="42"/>
        <v>0</v>
      </c>
      <c r="F302" s="22">
        <f t="shared" si="43"/>
        <v>0</v>
      </c>
      <c r="G302" s="22">
        <f>IF(B302&gt;G$26*G$27+G$33,0,(SUM(D$258:D301)*((1+G$22/G$23)^((B302-G$33)/(12/G$23))-1))-SUM(G$258:G301))</f>
        <v>0</v>
      </c>
      <c r="H302" s="2"/>
      <c r="K302" s="2">
        <f t="shared" si="44"/>
        <v>0</v>
      </c>
      <c r="L302" s="2">
        <f t="shared" si="45"/>
        <v>0</v>
      </c>
      <c r="M302" s="2">
        <f>IF(B302&lt;G$33,0,SUM(E303:E$390))</f>
        <v>0</v>
      </c>
    </row>
    <row r="303" spans="1:13" ht="18.75">
      <c r="A303" s="8" t="s">
        <v>55</v>
      </c>
      <c r="B303" s="21">
        <v>45</v>
      </c>
      <c r="D303" s="22">
        <f aca="true" t="shared" si="46" ref="D303:D334">IF(B303=$G$26*G$27+G$33,-G$19*G$21*((1+G$22/G$23)^(G$26*G$23)),0)</f>
        <v>0</v>
      </c>
      <c r="E303" s="22">
        <f aca="true" t="shared" si="47" ref="E303:E334">IF(B303&lt;$G$33,0,IF(B303&lt;=G$26*G$27+$G$33-1,+(G$18*12/G$27),0))</f>
        <v>0</v>
      </c>
      <c r="F303" s="22">
        <f aca="true" t="shared" si="48" ref="F303:F334">IF(B303&lt;G$33,0,(+G$18*G$26*G$27-G$19)/SUM(M$259:M$390)*M303)</f>
        <v>0</v>
      </c>
      <c r="G303" s="22">
        <f>IF(B303&gt;G$26*G$27+G$33,0,(SUM(D$258:D302)*((1+G$22/G$23)^((B303-G$33)/(12/G$23))-1))-SUM(G$258:G302))</f>
        <v>0</v>
      </c>
      <c r="H303" s="2"/>
      <c r="J303" s="2">
        <f>I306*$G$34*0.3</f>
        <v>0</v>
      </c>
      <c r="K303" s="2">
        <f t="shared" si="44"/>
        <v>0</v>
      </c>
      <c r="L303" s="2">
        <f t="shared" si="45"/>
        <v>0</v>
      </c>
      <c r="M303" s="2">
        <f>IF(B303&lt;G$33,0,SUM(E304:E$390))</f>
        <v>0</v>
      </c>
    </row>
    <row r="304" spans="1:13" ht="18.75">
      <c r="A304" s="8" t="s">
        <v>49</v>
      </c>
      <c r="B304" s="21">
        <v>46</v>
      </c>
      <c r="D304" s="22">
        <f t="shared" si="46"/>
        <v>0</v>
      </c>
      <c r="E304" s="22">
        <f t="shared" si="47"/>
        <v>0</v>
      </c>
      <c r="F304" s="22">
        <f t="shared" si="48"/>
        <v>0</v>
      </c>
      <c r="G304" s="22">
        <f>IF(B304&gt;G$26*G$27+G$33,0,(SUM(D$258:D303)*((1+G$22/G$23)^((B304-G$33)/(12/G$23))-1))-SUM(G$258:G303))</f>
        <v>0</v>
      </c>
      <c r="H304" s="2"/>
      <c r="K304" s="2">
        <f t="shared" si="44"/>
        <v>0</v>
      </c>
      <c r="L304" s="2">
        <f t="shared" si="45"/>
        <v>0</v>
      </c>
      <c r="M304" s="2">
        <f>IF(B304&lt;G$33,0,SUM(E305:E$390))</f>
        <v>0</v>
      </c>
    </row>
    <row r="305" spans="1:13" ht="18.75">
      <c r="A305" s="8" t="s">
        <v>76</v>
      </c>
      <c r="B305" s="21">
        <v>47</v>
      </c>
      <c r="D305" s="22">
        <f t="shared" si="46"/>
        <v>0</v>
      </c>
      <c r="E305" s="22">
        <f t="shared" si="47"/>
        <v>0</v>
      </c>
      <c r="F305" s="22">
        <f t="shared" si="48"/>
        <v>0</v>
      </c>
      <c r="G305" s="22">
        <f>IF(B305&gt;G$26*G$27+G$33,0,(SUM(D$258:D304)*((1+G$22/G$23)^((B305-G$33)/(12/G$23))-1))-SUM(G$258:G304))</f>
        <v>0</v>
      </c>
      <c r="H305" s="2"/>
      <c r="K305" s="2">
        <f t="shared" si="44"/>
        <v>0</v>
      </c>
      <c r="L305" s="2">
        <f t="shared" si="45"/>
        <v>0</v>
      </c>
      <c r="M305" s="2">
        <f>IF(B305&lt;G$33,0,SUM(E306:E$390))</f>
        <v>0</v>
      </c>
    </row>
    <row r="306" spans="1:13" ht="18.75">
      <c r="A306" s="8" t="s">
        <v>50</v>
      </c>
      <c r="B306" s="21">
        <v>48</v>
      </c>
      <c r="D306" s="22">
        <f t="shared" si="46"/>
        <v>0</v>
      </c>
      <c r="E306" s="22">
        <f t="shared" si="47"/>
        <v>0</v>
      </c>
      <c r="F306" s="22">
        <f t="shared" si="48"/>
        <v>0</v>
      </c>
      <c r="G306" s="22">
        <f>IF(B306&gt;G$26*G$27+G$33,0,(SUM(D$258:D305)*((1+G$22/G$23)^((B306-G$33)/(12/G$23))-1))-SUM(G$258:G305))</f>
        <v>0</v>
      </c>
      <c r="H306" s="2"/>
      <c r="I306" s="2">
        <f>SUM(F295:F306)-SUM(G295:G306)</f>
        <v>0</v>
      </c>
      <c r="J306" s="2">
        <f>I306*$G$34*0.25</f>
        <v>0</v>
      </c>
      <c r="K306" s="2">
        <f t="shared" si="44"/>
        <v>0</v>
      </c>
      <c r="L306" s="2">
        <f t="shared" si="45"/>
        <v>0</v>
      </c>
      <c r="M306" s="2">
        <f>IF(B306&lt;G$33,0,SUM(E307:E$390))</f>
        <v>0</v>
      </c>
    </row>
    <row r="307" spans="1:13" ht="18.75">
      <c r="A307" s="8" t="s">
        <v>51</v>
      </c>
      <c r="B307" s="21">
        <v>49</v>
      </c>
      <c r="D307" s="22">
        <f t="shared" si="46"/>
        <v>0</v>
      </c>
      <c r="E307" s="22">
        <f t="shared" si="47"/>
        <v>0</v>
      </c>
      <c r="F307" s="22">
        <f t="shared" si="48"/>
        <v>0</v>
      </c>
      <c r="G307" s="22">
        <f>IF(B307&gt;G$26*G$27+G$33,0,(SUM(D$258:D306)*((1+G$22/G$23)^((B307-G$33)/(12/G$23))-1))-SUM(G$258:G306))</f>
        <v>0</v>
      </c>
      <c r="H307" s="2"/>
      <c r="K307" s="2">
        <f t="shared" si="44"/>
        <v>0</v>
      </c>
      <c r="L307" s="2">
        <f t="shared" si="45"/>
        <v>0</v>
      </c>
      <c r="M307" s="2">
        <f>IF(B307&lt;G$33,0,SUM(E308:E$390))</f>
        <v>0</v>
      </c>
    </row>
    <row r="308" spans="1:13" ht="18.75">
      <c r="A308" s="8" t="s">
        <v>72</v>
      </c>
      <c r="B308" s="21">
        <v>50</v>
      </c>
      <c r="D308" s="22">
        <f t="shared" si="46"/>
        <v>0</v>
      </c>
      <c r="E308" s="22">
        <f t="shared" si="47"/>
        <v>0</v>
      </c>
      <c r="F308" s="22">
        <f t="shared" si="48"/>
        <v>0</v>
      </c>
      <c r="G308" s="22">
        <f>IF(B308&gt;G$26*G$27+G$33,0,(SUM(D$258:D307)*((1+G$22/G$23)^((B308-G$33)/(12/G$23))-1))-SUM(G$258:G307))</f>
        <v>0</v>
      </c>
      <c r="H308" s="2"/>
      <c r="K308" s="2">
        <f t="shared" si="44"/>
        <v>0</v>
      </c>
      <c r="L308" s="2">
        <f t="shared" si="45"/>
        <v>0</v>
      </c>
      <c r="M308" s="2">
        <f>IF(B308&lt;G$33,0,SUM(E309:E$390))</f>
        <v>0</v>
      </c>
    </row>
    <row r="309" spans="1:13" ht="18.75">
      <c r="A309" s="8" t="s">
        <v>52</v>
      </c>
      <c r="B309" s="21">
        <v>51</v>
      </c>
      <c r="D309" s="22">
        <f t="shared" si="46"/>
        <v>0</v>
      </c>
      <c r="E309" s="22">
        <f t="shared" si="47"/>
        <v>0</v>
      </c>
      <c r="F309" s="22">
        <f t="shared" si="48"/>
        <v>0</v>
      </c>
      <c r="G309" s="22">
        <f>IF(B309&gt;G$26*G$27+G$33,0,(SUM(D$258:D308)*((1+G$22/G$23)^((B309-G$33)/(12/G$23))-1))-SUM(G$258:G308))</f>
        <v>0</v>
      </c>
      <c r="H309" s="2"/>
      <c r="J309" s="2">
        <f>I318*G$34*0.15</f>
        <v>0</v>
      </c>
      <c r="K309" s="2">
        <f t="shared" si="44"/>
        <v>0</v>
      </c>
      <c r="L309" s="2">
        <f t="shared" si="45"/>
        <v>0</v>
      </c>
      <c r="M309" s="2">
        <f>IF(B309&lt;G$33,0,SUM(E310:E$390))</f>
        <v>0</v>
      </c>
    </row>
    <row r="310" spans="1:13" ht="18.75">
      <c r="A310" s="8" t="s">
        <v>73</v>
      </c>
      <c r="B310" s="21">
        <v>52</v>
      </c>
      <c r="D310" s="22">
        <f t="shared" si="46"/>
        <v>0</v>
      </c>
      <c r="E310" s="22">
        <f t="shared" si="47"/>
        <v>0</v>
      </c>
      <c r="F310" s="22">
        <f t="shared" si="48"/>
        <v>0</v>
      </c>
      <c r="G310" s="22">
        <f>IF(B310&gt;G$26*G$27+G$33,0,(SUM(D$258:D309)*((1+G$22/G$23)^((B310-G$33)/(12/G$23))-1))-SUM(G$258:G309))</f>
        <v>0</v>
      </c>
      <c r="H310" s="2"/>
      <c r="K310" s="2">
        <f t="shared" si="44"/>
        <v>0</v>
      </c>
      <c r="L310" s="2">
        <f t="shared" si="45"/>
        <v>0</v>
      </c>
      <c r="M310" s="2">
        <f>IF(B310&lt;G$33,0,SUM(E311:E$390))</f>
        <v>0</v>
      </c>
    </row>
    <row r="311" spans="1:13" ht="18.75">
      <c r="A311" s="8" t="s">
        <v>53</v>
      </c>
      <c r="B311" s="21">
        <v>53</v>
      </c>
      <c r="D311" s="22">
        <f t="shared" si="46"/>
        <v>0</v>
      </c>
      <c r="E311" s="22">
        <f t="shared" si="47"/>
        <v>0</v>
      </c>
      <c r="F311" s="22">
        <f t="shared" si="48"/>
        <v>0</v>
      </c>
      <c r="G311" s="22">
        <f>IF(B311&gt;G$26*G$27+G$33,0,(SUM(D$258:D310)*((1+G$22/G$23)^((B311-G$33)/(12/G$23))-1))-SUM(G$258:G310))</f>
        <v>0</v>
      </c>
      <c r="H311" s="2"/>
      <c r="K311" s="2">
        <f t="shared" si="44"/>
        <v>0</v>
      </c>
      <c r="L311" s="2">
        <f t="shared" si="45"/>
        <v>0</v>
      </c>
      <c r="M311" s="2">
        <f>IF(B311&lt;G$33,0,SUM(E312:E$390))</f>
        <v>0</v>
      </c>
    </row>
    <row r="312" spans="1:13" ht="18.75">
      <c r="A312" s="8" t="s">
        <v>54</v>
      </c>
      <c r="B312" s="21">
        <v>54</v>
      </c>
      <c r="D312" s="22">
        <f t="shared" si="46"/>
        <v>0</v>
      </c>
      <c r="E312" s="22">
        <f t="shared" si="47"/>
        <v>0</v>
      </c>
      <c r="F312" s="22">
        <f t="shared" si="48"/>
        <v>0</v>
      </c>
      <c r="G312" s="22">
        <f>IF(B312&gt;G$26*G$27+G$33,0,(SUM(D$258:D311)*((1+G$22/G$23)^((B312-G$33)/(12/G$23))-1))-SUM(G$258:G311))</f>
        <v>0</v>
      </c>
      <c r="H312" s="2"/>
      <c r="J312" s="2">
        <f>I318*$G$34*0.3</f>
        <v>0</v>
      </c>
      <c r="K312" s="2">
        <f t="shared" si="44"/>
        <v>0</v>
      </c>
      <c r="L312" s="2">
        <f t="shared" si="45"/>
        <v>0</v>
      </c>
      <c r="M312" s="2">
        <f>IF(B312&lt;G$33,0,SUM(E313:E$390))</f>
        <v>0</v>
      </c>
    </row>
    <row r="313" spans="1:13" ht="18.75">
      <c r="A313" s="8" t="s">
        <v>74</v>
      </c>
      <c r="B313" s="21">
        <v>55</v>
      </c>
      <c r="D313" s="22">
        <f t="shared" si="46"/>
        <v>0</v>
      </c>
      <c r="E313" s="22">
        <f t="shared" si="47"/>
        <v>0</v>
      </c>
      <c r="F313" s="22">
        <f t="shared" si="48"/>
        <v>0</v>
      </c>
      <c r="G313" s="22">
        <f>IF(B313&gt;G$26*G$27+G$33,0,(SUM(D$258:D312)*((1+G$22/G$23)^((B313-G$33)/(12/G$23))-1))-SUM(G$258:G312))</f>
        <v>0</v>
      </c>
      <c r="H313" s="2"/>
      <c r="K313" s="2">
        <f t="shared" si="44"/>
        <v>0</v>
      </c>
      <c r="L313" s="2">
        <f t="shared" si="45"/>
        <v>0</v>
      </c>
      <c r="M313" s="2">
        <f>IF(B313&lt;G$33,0,SUM(E314:E$390))</f>
        <v>0</v>
      </c>
    </row>
    <row r="314" spans="1:13" ht="18.75">
      <c r="A314" s="8" t="s">
        <v>75</v>
      </c>
      <c r="B314" s="21">
        <v>56</v>
      </c>
      <c r="D314" s="22">
        <f t="shared" si="46"/>
        <v>0</v>
      </c>
      <c r="E314" s="22">
        <f t="shared" si="47"/>
        <v>0</v>
      </c>
      <c r="F314" s="22">
        <f t="shared" si="48"/>
        <v>0</v>
      </c>
      <c r="G314" s="22">
        <f>IF(B314&gt;G$26*G$27+G$33,0,(SUM(D$258:D313)*((1+G$22/G$23)^((B314-G$33)/(12/G$23))-1))-SUM(G$258:G313))</f>
        <v>0</v>
      </c>
      <c r="H314" s="2"/>
      <c r="K314" s="2">
        <f t="shared" si="44"/>
        <v>0</v>
      </c>
      <c r="L314" s="2">
        <f t="shared" si="45"/>
        <v>0</v>
      </c>
      <c r="M314" s="2">
        <f>IF(B314&lt;G$33,0,SUM(E315:E$390))</f>
        <v>0</v>
      </c>
    </row>
    <row r="315" spans="1:13" ht="18.75">
      <c r="A315" s="8" t="s">
        <v>55</v>
      </c>
      <c r="B315" s="21">
        <v>57</v>
      </c>
      <c r="D315" s="22">
        <f t="shared" si="46"/>
        <v>0</v>
      </c>
      <c r="E315" s="22">
        <f t="shared" si="47"/>
        <v>0</v>
      </c>
      <c r="F315" s="22">
        <f t="shared" si="48"/>
        <v>0</v>
      </c>
      <c r="G315" s="22">
        <f>IF(B315&gt;G$26*G$27+G$33,0,(SUM(D$258:D314)*((1+G$22/G$23)^((B315-G$33)/(12/G$23))-1))-SUM(G$258:G314))</f>
        <v>0</v>
      </c>
      <c r="H315" s="2"/>
      <c r="J315" s="2">
        <f>I318*$G$34*0.3</f>
        <v>0</v>
      </c>
      <c r="K315" s="2">
        <f t="shared" si="44"/>
        <v>0</v>
      </c>
      <c r="L315" s="2">
        <f t="shared" si="45"/>
        <v>0</v>
      </c>
      <c r="M315" s="2">
        <f>IF(B315&lt;G$33,0,SUM(E316:E$390))</f>
        <v>0</v>
      </c>
    </row>
    <row r="316" spans="1:13" ht="18.75">
      <c r="A316" s="8" t="s">
        <v>49</v>
      </c>
      <c r="B316" s="21">
        <v>58</v>
      </c>
      <c r="D316" s="22">
        <f t="shared" si="46"/>
        <v>0</v>
      </c>
      <c r="E316" s="22">
        <f t="shared" si="47"/>
        <v>0</v>
      </c>
      <c r="F316" s="22">
        <f t="shared" si="48"/>
        <v>0</v>
      </c>
      <c r="G316" s="22">
        <f>IF(B316&gt;G$26*G$27+G$33,0,(SUM(D$258:D315)*((1+G$22/G$23)^((B316-G$33)/(12/G$23))-1))-SUM(G$258:G315))</f>
        <v>0</v>
      </c>
      <c r="H316" s="2"/>
      <c r="K316" s="2">
        <f t="shared" si="44"/>
        <v>0</v>
      </c>
      <c r="L316" s="2">
        <f t="shared" si="45"/>
        <v>0</v>
      </c>
      <c r="M316" s="2">
        <f>IF(B316&lt;G$33,0,SUM(E317:E$390))</f>
        <v>0</v>
      </c>
    </row>
    <row r="317" spans="1:13" ht="18.75">
      <c r="A317" s="8" t="s">
        <v>76</v>
      </c>
      <c r="B317" s="21">
        <v>59</v>
      </c>
      <c r="D317" s="22">
        <f t="shared" si="46"/>
        <v>0</v>
      </c>
      <c r="E317" s="22">
        <f t="shared" si="47"/>
        <v>0</v>
      </c>
      <c r="F317" s="22">
        <f t="shared" si="48"/>
        <v>0</v>
      </c>
      <c r="G317" s="22">
        <f>IF(B317&gt;G$26*G$27+G$33,0,(SUM(D$258:D316)*((1+G$22/G$23)^((B317-G$33)/(12/G$23))-1))-SUM(G$258:G316))</f>
        <v>0</v>
      </c>
      <c r="H317" s="2"/>
      <c r="K317" s="2">
        <f t="shared" si="44"/>
        <v>0</v>
      </c>
      <c r="L317" s="2">
        <f t="shared" si="45"/>
        <v>0</v>
      </c>
      <c r="M317" s="2">
        <f>IF(B317&lt;G$33,0,SUM(E318:E$390))</f>
        <v>0</v>
      </c>
    </row>
    <row r="318" spans="1:13" ht="18.75">
      <c r="A318" s="8" t="s">
        <v>50</v>
      </c>
      <c r="B318" s="21">
        <v>60</v>
      </c>
      <c r="D318" s="22">
        <f t="shared" si="46"/>
        <v>0</v>
      </c>
      <c r="E318" s="22">
        <f t="shared" si="47"/>
        <v>0</v>
      </c>
      <c r="F318" s="22">
        <f t="shared" si="48"/>
        <v>0</v>
      </c>
      <c r="G318" s="22">
        <f>IF(B318&gt;G$26*G$27+G$33,0,(SUM(D$258:D317)*((1+G$22/G$23)^((B318-G$33)/(12/G$23))-1))-SUM(G$258:G317))</f>
        <v>0</v>
      </c>
      <c r="H318" s="2"/>
      <c r="I318" s="2">
        <f>SUM(F307:F318)-SUM(G307:G318)</f>
        <v>0</v>
      </c>
      <c r="J318" s="2">
        <f>I318*$G$34*0.25</f>
        <v>0</v>
      </c>
      <c r="K318" s="2">
        <f t="shared" si="44"/>
        <v>0</v>
      </c>
      <c r="L318" s="2">
        <f t="shared" si="45"/>
        <v>0</v>
      </c>
      <c r="M318" s="2">
        <f>IF(B318&lt;G$33,0,SUM(E319:E$390))</f>
        <v>0</v>
      </c>
    </row>
    <row r="319" spans="1:13" ht="18.75">
      <c r="A319" s="8" t="s">
        <v>51</v>
      </c>
      <c r="B319" s="21">
        <v>61</v>
      </c>
      <c r="D319" s="22">
        <f t="shared" si="46"/>
        <v>0</v>
      </c>
      <c r="E319" s="22">
        <f t="shared" si="47"/>
        <v>0</v>
      </c>
      <c r="F319" s="22">
        <f t="shared" si="48"/>
        <v>0</v>
      </c>
      <c r="G319" s="22">
        <f>IF(B319&gt;G$26*G$27+G$33,0,(SUM(D$258:D318)*((1+G$22/G$23)^((B319-G$33)/(12/G$23))-1))-SUM(G$258:G318))</f>
        <v>0</v>
      </c>
      <c r="H319" s="2"/>
      <c r="K319" s="2">
        <f t="shared" si="44"/>
        <v>0</v>
      </c>
      <c r="L319" s="2">
        <f t="shared" si="45"/>
        <v>0</v>
      </c>
      <c r="M319" s="2">
        <f>IF(B319&lt;G$33,0,SUM(E320:E$390))</f>
        <v>0</v>
      </c>
    </row>
    <row r="320" spans="1:13" ht="18.75">
      <c r="A320" s="8" t="s">
        <v>72</v>
      </c>
      <c r="B320" s="21">
        <v>62</v>
      </c>
      <c r="D320" s="22">
        <f t="shared" si="46"/>
        <v>0</v>
      </c>
      <c r="E320" s="22">
        <f t="shared" si="47"/>
        <v>0</v>
      </c>
      <c r="F320" s="22">
        <f t="shared" si="48"/>
        <v>0</v>
      </c>
      <c r="G320" s="22">
        <f>IF(B320&gt;G$26*G$27+G$33,0,(SUM(D$258:D319)*((1+G$22/G$23)^((B320-G$33)/(12/G$23))-1))-SUM(G$258:G319))</f>
        <v>0</v>
      </c>
      <c r="H320" s="2"/>
      <c r="K320" s="2">
        <f t="shared" si="44"/>
        <v>0</v>
      </c>
      <c r="L320" s="2">
        <f t="shared" si="45"/>
        <v>0</v>
      </c>
      <c r="M320" s="2">
        <f>IF(B320&lt;G$33,0,SUM(E321:E$390))</f>
        <v>0</v>
      </c>
    </row>
    <row r="321" spans="1:13" ht="18.75">
      <c r="A321" s="8" t="s">
        <v>52</v>
      </c>
      <c r="B321" s="21">
        <v>63</v>
      </c>
      <c r="D321" s="22">
        <f t="shared" si="46"/>
        <v>0</v>
      </c>
      <c r="E321" s="22">
        <f t="shared" si="47"/>
        <v>0</v>
      </c>
      <c r="F321" s="22">
        <f t="shared" si="48"/>
        <v>0</v>
      </c>
      <c r="G321" s="22">
        <f>IF(B321&gt;G$26*G$27+G$33,0,(SUM(D$258:D320)*((1+G$22/G$23)^((B321-G$33)/(12/G$23))-1))-SUM(G$258:G320))</f>
        <v>0</v>
      </c>
      <c r="H321" s="2"/>
      <c r="J321" s="2">
        <f>I330*G$34*0.15</f>
        <v>0</v>
      </c>
      <c r="K321" s="2">
        <f t="shared" si="44"/>
        <v>0</v>
      </c>
      <c r="L321" s="2">
        <f t="shared" si="45"/>
        <v>0</v>
      </c>
      <c r="M321" s="2">
        <f>IF(B321&lt;G$33,0,SUM(E322:E$390))</f>
        <v>0</v>
      </c>
    </row>
    <row r="322" spans="1:13" ht="18.75">
      <c r="A322" s="8" t="s">
        <v>73</v>
      </c>
      <c r="B322" s="21">
        <v>64</v>
      </c>
      <c r="D322" s="22">
        <f t="shared" si="46"/>
        <v>0</v>
      </c>
      <c r="E322" s="22">
        <f t="shared" si="47"/>
        <v>0</v>
      </c>
      <c r="F322" s="22">
        <f t="shared" si="48"/>
        <v>0</v>
      </c>
      <c r="G322" s="22">
        <f>IF(B322&gt;G$26*G$27+G$33,0,(SUM(D$258:D321)*((1+G$22/G$23)^((B322-G$33)/(12/G$23))-1))-SUM(G$258:G321))</f>
        <v>0</v>
      </c>
      <c r="H322" s="2"/>
      <c r="K322" s="2">
        <f t="shared" si="44"/>
        <v>0</v>
      </c>
      <c r="L322" s="2">
        <f t="shared" si="45"/>
        <v>0</v>
      </c>
      <c r="M322" s="2">
        <f>IF(B322&lt;G$33,0,SUM(E323:E$390))</f>
        <v>0</v>
      </c>
    </row>
    <row r="323" spans="1:13" ht="18.75">
      <c r="A323" s="8" t="s">
        <v>53</v>
      </c>
      <c r="B323" s="21">
        <v>65</v>
      </c>
      <c r="D323" s="22">
        <f t="shared" si="46"/>
        <v>0</v>
      </c>
      <c r="E323" s="22">
        <f t="shared" si="47"/>
        <v>0</v>
      </c>
      <c r="F323" s="22">
        <f t="shared" si="48"/>
        <v>0</v>
      </c>
      <c r="G323" s="22">
        <f>IF(B323&gt;G$26*G$27+G$33,0,(SUM(D$258:D322)*((1+G$22/G$23)^((B323-G$33)/(12/G$23))-1))-SUM(G$258:G322))</f>
        <v>0</v>
      </c>
      <c r="H323" s="2"/>
      <c r="K323" s="2">
        <f aca="true" t="shared" si="49" ref="K323:K354">C323+D323+E323</f>
        <v>0</v>
      </c>
      <c r="L323" s="2">
        <f t="shared" si="45"/>
        <v>0</v>
      </c>
      <c r="M323" s="2">
        <f>IF(B323&lt;G$33,0,SUM(E324:E$390))</f>
        <v>0</v>
      </c>
    </row>
    <row r="324" spans="1:13" ht="18.75">
      <c r="A324" s="8" t="s">
        <v>54</v>
      </c>
      <c r="B324" s="21">
        <v>66</v>
      </c>
      <c r="D324" s="22">
        <f t="shared" si="46"/>
        <v>0</v>
      </c>
      <c r="E324" s="22">
        <f t="shared" si="47"/>
        <v>0</v>
      </c>
      <c r="F324" s="22">
        <f t="shared" si="48"/>
        <v>0</v>
      </c>
      <c r="G324" s="22">
        <f>IF(B324&gt;G$26*G$27+G$33,0,(SUM(D$258:D323)*((1+G$22/G$23)^((B324-G$33)/(12/G$23))-1))-SUM(G$258:G323))</f>
        <v>0</v>
      </c>
      <c r="H324" s="2"/>
      <c r="J324" s="2">
        <f>I330*$G$34*0.3</f>
        <v>0</v>
      </c>
      <c r="K324" s="2">
        <f t="shared" si="49"/>
        <v>0</v>
      </c>
      <c r="L324" s="2">
        <f t="shared" si="45"/>
        <v>0</v>
      </c>
      <c r="M324" s="2">
        <f>IF(B324&lt;G$33,0,SUM(E325:E$390))</f>
        <v>0</v>
      </c>
    </row>
    <row r="325" spans="1:13" ht="18.75">
      <c r="A325" s="8" t="s">
        <v>74</v>
      </c>
      <c r="B325" s="21">
        <v>67</v>
      </c>
      <c r="D325" s="22">
        <f t="shared" si="46"/>
        <v>0</v>
      </c>
      <c r="E325" s="22">
        <f t="shared" si="47"/>
        <v>0</v>
      </c>
      <c r="F325" s="22">
        <f t="shared" si="48"/>
        <v>0</v>
      </c>
      <c r="G325" s="22">
        <f>IF(B325&gt;G$26*G$27+G$33,0,(SUM(D$258:D324)*((1+G$22/G$23)^((B325-G$33)/(12/G$23))-1))-SUM(G$258:G324))</f>
        <v>0</v>
      </c>
      <c r="H325" s="2"/>
      <c r="K325" s="2">
        <f t="shared" si="49"/>
        <v>0</v>
      </c>
      <c r="L325" s="2">
        <f t="shared" si="45"/>
        <v>0</v>
      </c>
      <c r="M325" s="2">
        <f>IF(B325&lt;G$33,0,SUM(E326:E$390))</f>
        <v>0</v>
      </c>
    </row>
    <row r="326" spans="1:13" ht="18.75">
      <c r="A326" s="8" t="s">
        <v>75</v>
      </c>
      <c r="B326" s="21">
        <v>68</v>
      </c>
      <c r="D326" s="22">
        <f t="shared" si="46"/>
        <v>0</v>
      </c>
      <c r="E326" s="22">
        <f t="shared" si="47"/>
        <v>0</v>
      </c>
      <c r="F326" s="22">
        <f t="shared" si="48"/>
        <v>0</v>
      </c>
      <c r="G326" s="22">
        <f>IF(B326&gt;G$26*G$27+G$33,0,(SUM(D$258:D325)*((1+G$22/G$23)^((B326-G$33)/(12/G$23))-1))-SUM(G$258:G325))</f>
        <v>0</v>
      </c>
      <c r="H326" s="2"/>
      <c r="K326" s="2">
        <f t="shared" si="49"/>
        <v>0</v>
      </c>
      <c r="L326" s="2">
        <f t="shared" si="45"/>
        <v>0</v>
      </c>
      <c r="M326" s="2">
        <f>IF(B326&lt;G$33,0,SUM(E327:E$390))</f>
        <v>0</v>
      </c>
    </row>
    <row r="327" spans="1:13" ht="18.75">
      <c r="A327" s="8" t="s">
        <v>55</v>
      </c>
      <c r="B327" s="21">
        <v>69</v>
      </c>
      <c r="D327" s="22">
        <f t="shared" si="46"/>
        <v>0</v>
      </c>
      <c r="E327" s="22">
        <f t="shared" si="47"/>
        <v>0</v>
      </c>
      <c r="F327" s="22">
        <f t="shared" si="48"/>
        <v>0</v>
      </c>
      <c r="G327" s="22">
        <f>IF(B327&gt;G$26*G$27+G$33,0,(SUM(D$258:D326)*((1+G$22/G$23)^((B327-G$33)/(12/G$23))-1))-SUM(G$258:G326))</f>
        <v>0</v>
      </c>
      <c r="H327" s="2"/>
      <c r="J327" s="2">
        <f>I330*$G$34*0.3</f>
        <v>0</v>
      </c>
      <c r="K327" s="2">
        <f t="shared" si="49"/>
        <v>0</v>
      </c>
      <c r="L327" s="2">
        <f t="shared" si="45"/>
        <v>0</v>
      </c>
      <c r="M327" s="2">
        <f>IF(B327&lt;G$33,0,SUM(E328:E$390))</f>
        <v>0</v>
      </c>
    </row>
    <row r="328" spans="1:13" ht="18.75">
      <c r="A328" s="8" t="s">
        <v>49</v>
      </c>
      <c r="B328" s="21">
        <v>70</v>
      </c>
      <c r="D328" s="22">
        <f t="shared" si="46"/>
        <v>0</v>
      </c>
      <c r="E328" s="22">
        <f t="shared" si="47"/>
        <v>0</v>
      </c>
      <c r="F328" s="22">
        <f t="shared" si="48"/>
        <v>0</v>
      </c>
      <c r="G328" s="22">
        <f>IF(B328&gt;G$26*G$27+G$33,0,(SUM(D$258:D327)*((1+G$22/G$23)^((B328-G$33)/(12/G$23))-1))-SUM(G$258:G327))</f>
        <v>0</v>
      </c>
      <c r="H328" s="2"/>
      <c r="K328" s="2">
        <f t="shared" si="49"/>
        <v>0</v>
      </c>
      <c r="L328" s="2">
        <f t="shared" si="45"/>
        <v>0</v>
      </c>
      <c r="M328" s="2">
        <f>IF(B328&lt;G$33,0,SUM(E329:E$390))</f>
        <v>0</v>
      </c>
    </row>
    <row r="329" spans="1:13" ht="18.75">
      <c r="A329" s="8" t="s">
        <v>76</v>
      </c>
      <c r="B329" s="21">
        <v>71</v>
      </c>
      <c r="D329" s="22">
        <f t="shared" si="46"/>
        <v>0</v>
      </c>
      <c r="E329" s="22">
        <f t="shared" si="47"/>
        <v>0</v>
      </c>
      <c r="F329" s="22">
        <f t="shared" si="48"/>
        <v>0</v>
      </c>
      <c r="G329" s="22">
        <f>IF(B329&gt;G$26*G$27+G$33,0,(SUM(D$258:D328)*((1+G$22/G$23)^((B329-G$33)/(12/G$23))-1))-SUM(G$258:G328))</f>
        <v>0</v>
      </c>
      <c r="H329" s="2"/>
      <c r="K329" s="2">
        <f t="shared" si="49"/>
        <v>0</v>
      </c>
      <c r="L329" s="2">
        <f t="shared" si="45"/>
        <v>0</v>
      </c>
      <c r="M329" s="2">
        <f>IF(B329&lt;G$33,0,SUM(E330:E$390))</f>
        <v>0</v>
      </c>
    </row>
    <row r="330" spans="1:13" ht="18.75">
      <c r="A330" s="8" t="s">
        <v>50</v>
      </c>
      <c r="B330" s="21">
        <v>72</v>
      </c>
      <c r="D330" s="22">
        <f t="shared" si="46"/>
        <v>0</v>
      </c>
      <c r="E330" s="22">
        <f t="shared" si="47"/>
        <v>0</v>
      </c>
      <c r="F330" s="22">
        <f t="shared" si="48"/>
        <v>0</v>
      </c>
      <c r="G330" s="22">
        <f>IF(B330&gt;G$26*G$27+G$33,0,(SUM(D$258:D329)*((1+G$22/G$23)^((B330-G$33)/(12/G$23))-1))-SUM(G$258:G329))</f>
        <v>0</v>
      </c>
      <c r="H330" s="2"/>
      <c r="I330" s="2">
        <f>SUM(F319:F330)-SUM(G319:G330)</f>
        <v>0</v>
      </c>
      <c r="J330" s="2">
        <f>I330*$G$34*0.25</f>
        <v>0</v>
      </c>
      <c r="K330" s="2">
        <f t="shared" si="49"/>
        <v>0</v>
      </c>
      <c r="L330" s="2">
        <f t="shared" si="45"/>
        <v>0</v>
      </c>
      <c r="M330" s="2">
        <f>IF(B330&lt;G$33,0,SUM(E331:E$390))</f>
        <v>0</v>
      </c>
    </row>
    <row r="331" spans="1:13" ht="18.75">
      <c r="A331" s="8" t="s">
        <v>51</v>
      </c>
      <c r="B331" s="21">
        <v>73</v>
      </c>
      <c r="D331" s="22">
        <f t="shared" si="46"/>
        <v>0</v>
      </c>
      <c r="E331" s="22">
        <f t="shared" si="47"/>
        <v>0</v>
      </c>
      <c r="F331" s="22">
        <f t="shared" si="48"/>
        <v>0</v>
      </c>
      <c r="G331" s="22">
        <f>IF(B331&gt;G$26*G$27+G$33,0,(SUM(D$258:D330)*((1+G$22/G$23)^((B331-G$33)/(12/G$23))-1))-SUM(G$258:G330))</f>
        <v>0</v>
      </c>
      <c r="H331" s="2"/>
      <c r="K331" s="2">
        <f t="shared" si="49"/>
        <v>0</v>
      </c>
      <c r="L331" s="2">
        <f t="shared" si="45"/>
        <v>0</v>
      </c>
      <c r="M331" s="2">
        <f>IF(B331&lt;G$33,0,SUM(E332:E$390))</f>
        <v>0</v>
      </c>
    </row>
    <row r="332" spans="1:13" ht="18.75">
      <c r="A332" s="8" t="s">
        <v>72</v>
      </c>
      <c r="B332" s="21">
        <v>74</v>
      </c>
      <c r="D332" s="22">
        <f t="shared" si="46"/>
        <v>0</v>
      </c>
      <c r="E332" s="22">
        <f t="shared" si="47"/>
        <v>0</v>
      </c>
      <c r="F332" s="22">
        <f t="shared" si="48"/>
        <v>0</v>
      </c>
      <c r="G332" s="22">
        <f>IF(B332&gt;G$26*G$27+G$33,0,(SUM(D$258:D331)*((1+G$22/G$23)^((B332-G$33)/(12/G$23))-1))-SUM(G$258:G331))</f>
        <v>0</v>
      </c>
      <c r="H332" s="2"/>
      <c r="K332" s="2">
        <f t="shared" si="49"/>
        <v>0</v>
      </c>
      <c r="L332" s="2">
        <f aca="true" t="shared" si="50" ref="L332:L363">C332+E332-J332+D332</f>
        <v>0</v>
      </c>
      <c r="M332" s="2">
        <f>IF(B332&lt;G$33,0,SUM(E333:E$390))</f>
        <v>0</v>
      </c>
    </row>
    <row r="333" spans="1:13" ht="18.75">
      <c r="A333" s="8" t="s">
        <v>52</v>
      </c>
      <c r="B333" s="21">
        <v>75</v>
      </c>
      <c r="D333" s="22">
        <f t="shared" si="46"/>
        <v>0</v>
      </c>
      <c r="E333" s="22">
        <f t="shared" si="47"/>
        <v>0</v>
      </c>
      <c r="F333" s="22">
        <f t="shared" si="48"/>
        <v>0</v>
      </c>
      <c r="G333" s="22">
        <f>IF(B333&gt;G$26*G$27+G$33,0,(SUM(D$258:D332)*((1+G$22/G$23)^((B333-G$33)/(12/G$23))-1))-SUM(G$258:G332))</f>
        <v>0</v>
      </c>
      <c r="H333" s="2"/>
      <c r="J333" s="2">
        <f>I342*G$34*0.15</f>
        <v>0</v>
      </c>
      <c r="K333" s="2">
        <f t="shared" si="49"/>
        <v>0</v>
      </c>
      <c r="L333" s="2">
        <f t="shared" si="50"/>
        <v>0</v>
      </c>
      <c r="M333" s="2">
        <f>IF(B333&lt;G$33,0,SUM(E334:E$390))</f>
        <v>0</v>
      </c>
    </row>
    <row r="334" spans="1:13" ht="18.75">
      <c r="A334" s="8" t="s">
        <v>73</v>
      </c>
      <c r="B334" s="21">
        <v>76</v>
      </c>
      <c r="D334" s="22">
        <f t="shared" si="46"/>
        <v>0</v>
      </c>
      <c r="E334" s="22">
        <f t="shared" si="47"/>
        <v>0</v>
      </c>
      <c r="F334" s="22">
        <f t="shared" si="48"/>
        <v>0</v>
      </c>
      <c r="G334" s="22">
        <f>IF(B334&gt;G$26*G$27+G$33,0,(SUM(D$258:D333)*((1+G$22/G$23)^((B334-G$33)/(12/G$23))-1))-SUM(G$258:G333))</f>
        <v>0</v>
      </c>
      <c r="H334" s="2"/>
      <c r="K334" s="2">
        <f t="shared" si="49"/>
        <v>0</v>
      </c>
      <c r="L334" s="2">
        <f t="shared" si="50"/>
        <v>0</v>
      </c>
      <c r="M334" s="2">
        <f>IF(B334&lt;G$33,0,SUM(E335:E$390))</f>
        <v>0</v>
      </c>
    </row>
    <row r="335" spans="1:13" ht="18.75">
      <c r="A335" s="8" t="s">
        <v>53</v>
      </c>
      <c r="B335" s="21">
        <v>77</v>
      </c>
      <c r="D335" s="22">
        <f aca="true" t="shared" si="51" ref="D335:D366">IF(B335=$G$26*G$27+G$33,-G$19*G$21*((1+G$22/G$23)^(G$26*G$23)),0)</f>
        <v>0</v>
      </c>
      <c r="E335" s="22">
        <f aca="true" t="shared" si="52" ref="E335:E366">IF(B335&lt;$G$33,0,IF(B335&lt;=G$26*G$27+$G$33-1,+(G$18*12/G$27),0))</f>
        <v>0</v>
      </c>
      <c r="F335" s="22">
        <f aca="true" t="shared" si="53" ref="F335:F366">IF(B335&lt;G$33,0,(+G$18*G$26*G$27-G$19)/SUM(M$259:M$390)*M335)</f>
        <v>0</v>
      </c>
      <c r="G335" s="22">
        <f>IF(B335&gt;G$26*G$27+G$33,0,(SUM(D$258:D334)*((1+G$22/G$23)^((B335-G$33)/(12/G$23))-1))-SUM(G$258:G334))</f>
        <v>0</v>
      </c>
      <c r="H335" s="2"/>
      <c r="K335" s="2">
        <f t="shared" si="49"/>
        <v>0</v>
      </c>
      <c r="L335" s="2">
        <f t="shared" si="50"/>
        <v>0</v>
      </c>
      <c r="M335" s="2">
        <f>IF(B335&lt;G$33,0,SUM(E336:E$390))</f>
        <v>0</v>
      </c>
    </row>
    <row r="336" spans="1:13" ht="18.75">
      <c r="A336" s="8" t="s">
        <v>54</v>
      </c>
      <c r="B336" s="21">
        <v>78</v>
      </c>
      <c r="D336" s="22">
        <f t="shared" si="51"/>
        <v>0</v>
      </c>
      <c r="E336" s="22">
        <f t="shared" si="52"/>
        <v>0</v>
      </c>
      <c r="F336" s="22">
        <f t="shared" si="53"/>
        <v>0</v>
      </c>
      <c r="G336" s="22">
        <f>IF(B336&gt;G$26*G$27+G$33,0,(SUM(D$258:D335)*((1+G$22/G$23)^((B336-G$33)/(12/G$23))-1))-SUM(G$258:G335))</f>
        <v>0</v>
      </c>
      <c r="H336" s="2"/>
      <c r="J336" s="2">
        <f>I342*$G$34*0.3</f>
        <v>0</v>
      </c>
      <c r="K336" s="2">
        <f t="shared" si="49"/>
        <v>0</v>
      </c>
      <c r="L336" s="2">
        <f t="shared" si="50"/>
        <v>0</v>
      </c>
      <c r="M336" s="2">
        <f>IF(B336&lt;G$33,0,SUM(E337:E$390))</f>
        <v>0</v>
      </c>
    </row>
    <row r="337" spans="1:13" ht="18.75">
      <c r="A337" s="8" t="s">
        <v>74</v>
      </c>
      <c r="B337" s="21">
        <v>79</v>
      </c>
      <c r="D337" s="22">
        <f t="shared" si="51"/>
        <v>0</v>
      </c>
      <c r="E337" s="22">
        <f t="shared" si="52"/>
        <v>0</v>
      </c>
      <c r="F337" s="22">
        <f t="shared" si="53"/>
        <v>0</v>
      </c>
      <c r="G337" s="22">
        <f>IF(B337&gt;G$26*G$27+G$33,0,(SUM(D$258:D336)*((1+G$22/G$23)^((B337-G$33)/(12/G$23))-1))-SUM(G$258:G336))</f>
        <v>0</v>
      </c>
      <c r="H337" s="2"/>
      <c r="K337" s="2">
        <f t="shared" si="49"/>
        <v>0</v>
      </c>
      <c r="L337" s="2">
        <f t="shared" si="50"/>
        <v>0</v>
      </c>
      <c r="M337" s="2">
        <f>IF(B337&lt;G$33,0,SUM(E338:E$390))</f>
        <v>0</v>
      </c>
    </row>
    <row r="338" spans="1:13" ht="18.75">
      <c r="A338" s="8" t="s">
        <v>75</v>
      </c>
      <c r="B338" s="21">
        <v>80</v>
      </c>
      <c r="D338" s="22">
        <f t="shared" si="51"/>
        <v>0</v>
      </c>
      <c r="E338" s="22">
        <f t="shared" si="52"/>
        <v>0</v>
      </c>
      <c r="F338" s="22">
        <f t="shared" si="53"/>
        <v>0</v>
      </c>
      <c r="G338" s="22">
        <f>IF(B338&gt;G$26*G$27+G$33,0,(SUM(D$258:D337)*((1+G$22/G$23)^((B338-G$33)/(12/G$23))-1))-SUM(G$258:G337))</f>
        <v>0</v>
      </c>
      <c r="H338" s="2"/>
      <c r="K338" s="2">
        <f t="shared" si="49"/>
        <v>0</v>
      </c>
      <c r="L338" s="2">
        <f t="shared" si="50"/>
        <v>0</v>
      </c>
      <c r="M338" s="2">
        <f>IF(B338&lt;G$33,0,SUM(E339:E$390))</f>
        <v>0</v>
      </c>
    </row>
    <row r="339" spans="1:13" ht="18.75">
      <c r="A339" s="8" t="s">
        <v>55</v>
      </c>
      <c r="B339" s="21">
        <v>81</v>
      </c>
      <c r="D339" s="22">
        <f t="shared" si="51"/>
        <v>0</v>
      </c>
      <c r="E339" s="22">
        <f t="shared" si="52"/>
        <v>0</v>
      </c>
      <c r="F339" s="22">
        <f t="shared" si="53"/>
        <v>0</v>
      </c>
      <c r="G339" s="22">
        <f>IF(B339&gt;G$26*G$27+G$33,0,(SUM(D$258:D338)*((1+G$22/G$23)^((B339-G$33)/(12/G$23))-1))-SUM(G$258:G338))</f>
        <v>0</v>
      </c>
      <c r="H339" s="2"/>
      <c r="J339" s="2">
        <f>I342*$G$34*0.3</f>
        <v>0</v>
      </c>
      <c r="K339" s="2">
        <f t="shared" si="49"/>
        <v>0</v>
      </c>
      <c r="L339" s="2">
        <f t="shared" si="50"/>
        <v>0</v>
      </c>
      <c r="M339" s="2">
        <f>IF(B339&lt;G$33,0,SUM(E340:E$390))</f>
        <v>0</v>
      </c>
    </row>
    <row r="340" spans="1:13" ht="18.75">
      <c r="A340" s="8" t="s">
        <v>49</v>
      </c>
      <c r="B340" s="21">
        <v>82</v>
      </c>
      <c r="D340" s="22">
        <f t="shared" si="51"/>
        <v>0</v>
      </c>
      <c r="E340" s="22">
        <f t="shared" si="52"/>
        <v>0</v>
      </c>
      <c r="F340" s="22">
        <f t="shared" si="53"/>
        <v>0</v>
      </c>
      <c r="G340" s="22">
        <f>IF(B340&gt;G$26*G$27+G$33,0,(SUM(D$258:D339)*((1+G$22/G$23)^((B340-G$33)/(12/G$23))-1))-SUM(G$258:G339))</f>
        <v>0</v>
      </c>
      <c r="H340" s="2"/>
      <c r="K340" s="2">
        <f t="shared" si="49"/>
        <v>0</v>
      </c>
      <c r="L340" s="2">
        <f t="shared" si="50"/>
        <v>0</v>
      </c>
      <c r="M340" s="2">
        <f>IF(B340&lt;G$33,0,SUM(E341:E$390))</f>
        <v>0</v>
      </c>
    </row>
    <row r="341" spans="1:13" ht="18.75">
      <c r="A341" s="8" t="s">
        <v>76</v>
      </c>
      <c r="B341" s="21">
        <v>83</v>
      </c>
      <c r="D341" s="22">
        <f t="shared" si="51"/>
        <v>0</v>
      </c>
      <c r="E341" s="22">
        <f t="shared" si="52"/>
        <v>0</v>
      </c>
      <c r="F341" s="22">
        <f t="shared" si="53"/>
        <v>0</v>
      </c>
      <c r="G341" s="22">
        <f>IF(B341&gt;G$26*G$27+G$33,0,(SUM(D$258:D340)*((1+G$22/G$23)^((B341-G$33)/(12/G$23))-1))-SUM(G$258:G340))</f>
        <v>0</v>
      </c>
      <c r="H341" s="2"/>
      <c r="K341" s="2">
        <f t="shared" si="49"/>
        <v>0</v>
      </c>
      <c r="L341" s="2">
        <f t="shared" si="50"/>
        <v>0</v>
      </c>
      <c r="M341" s="2">
        <f>IF(B341&lt;G$33,0,SUM(E342:E$390))</f>
        <v>0</v>
      </c>
    </row>
    <row r="342" spans="1:13" ht="18.75">
      <c r="A342" s="8" t="s">
        <v>50</v>
      </c>
      <c r="B342" s="21">
        <v>84</v>
      </c>
      <c r="D342" s="22">
        <f t="shared" si="51"/>
        <v>0</v>
      </c>
      <c r="E342" s="22">
        <f t="shared" si="52"/>
        <v>0</v>
      </c>
      <c r="F342" s="22">
        <f t="shared" si="53"/>
        <v>0</v>
      </c>
      <c r="G342" s="22">
        <f>IF(B342&gt;G$26*G$27+G$33,0,(SUM(D$258:D341)*((1+G$22/G$23)^((B342-G$33)/(12/G$23))-1))-SUM(G$258:G341))</f>
        <v>0</v>
      </c>
      <c r="H342" s="2"/>
      <c r="I342" s="2">
        <f>SUM(F331:F342)-SUM(G331:G342)</f>
        <v>0</v>
      </c>
      <c r="J342" s="2">
        <f>I342*$G$34*0.25</f>
        <v>0</v>
      </c>
      <c r="K342" s="2">
        <f t="shared" si="49"/>
        <v>0</v>
      </c>
      <c r="L342" s="2">
        <f t="shared" si="50"/>
        <v>0</v>
      </c>
      <c r="M342" s="2">
        <f>IF(B342&lt;G$33,0,SUM(E343:E$390))</f>
        <v>0</v>
      </c>
    </row>
    <row r="343" spans="1:13" ht="18.75">
      <c r="A343" s="8" t="s">
        <v>51</v>
      </c>
      <c r="B343" s="21">
        <v>85</v>
      </c>
      <c r="D343" s="22">
        <f t="shared" si="51"/>
        <v>0</v>
      </c>
      <c r="E343" s="22">
        <f t="shared" si="52"/>
        <v>0</v>
      </c>
      <c r="F343" s="22">
        <f t="shared" si="53"/>
        <v>0</v>
      </c>
      <c r="G343" s="22">
        <f>IF(B343&gt;G$26*G$27+G$33,0,(SUM(D$258:D342)*((1+G$22/G$23)^((B343-G$33)/(12/G$23))-1))-SUM(G$258:G342))</f>
        <v>0</v>
      </c>
      <c r="H343" s="2"/>
      <c r="K343" s="2">
        <f t="shared" si="49"/>
        <v>0</v>
      </c>
      <c r="L343" s="2">
        <f t="shared" si="50"/>
        <v>0</v>
      </c>
      <c r="M343" s="2">
        <f>IF(B343&lt;G$33,0,SUM(E344:E$390))</f>
        <v>0</v>
      </c>
    </row>
    <row r="344" spans="1:13" ht="18.75">
      <c r="A344" s="8" t="s">
        <v>72</v>
      </c>
      <c r="B344" s="21">
        <v>86</v>
      </c>
      <c r="D344" s="22">
        <f t="shared" si="51"/>
        <v>0</v>
      </c>
      <c r="E344" s="22">
        <f t="shared" si="52"/>
        <v>0</v>
      </c>
      <c r="F344" s="22">
        <f t="shared" si="53"/>
        <v>0</v>
      </c>
      <c r="G344" s="22">
        <f>IF(B344&gt;G$26*G$27+G$33,0,(SUM(D$258:D343)*((1+G$22/G$23)^((B344-G$33)/(12/G$23))-1))-SUM(G$258:G343))</f>
        <v>0</v>
      </c>
      <c r="H344" s="2"/>
      <c r="K344" s="2">
        <f t="shared" si="49"/>
        <v>0</v>
      </c>
      <c r="L344" s="2">
        <f t="shared" si="50"/>
        <v>0</v>
      </c>
      <c r="M344" s="2">
        <f>IF(B344&lt;G$33,0,SUM(E345:E$390))</f>
        <v>0</v>
      </c>
    </row>
    <row r="345" spans="1:13" ht="18.75">
      <c r="A345" s="8" t="s">
        <v>52</v>
      </c>
      <c r="B345" s="21">
        <v>87</v>
      </c>
      <c r="D345" s="22">
        <f t="shared" si="51"/>
        <v>0</v>
      </c>
      <c r="E345" s="22">
        <f t="shared" si="52"/>
        <v>0</v>
      </c>
      <c r="F345" s="22">
        <f t="shared" si="53"/>
        <v>0</v>
      </c>
      <c r="G345" s="22">
        <f>IF(B345&gt;G$26*G$27+G$33,0,(SUM(D$258:D344)*((1+G$22/G$23)^((B345-G$33)/(12/G$23))-1))-SUM(G$258:G344))</f>
        <v>0</v>
      </c>
      <c r="H345" s="2"/>
      <c r="J345" s="2">
        <f>I354*G$34*0.15</f>
        <v>0</v>
      </c>
      <c r="K345" s="2">
        <f t="shared" si="49"/>
        <v>0</v>
      </c>
      <c r="L345" s="2">
        <f t="shared" si="50"/>
        <v>0</v>
      </c>
      <c r="M345" s="2">
        <f>IF(B345&lt;G$33,0,SUM(E346:E$390))</f>
        <v>0</v>
      </c>
    </row>
    <row r="346" spans="1:13" ht="18.75">
      <c r="A346" s="8" t="s">
        <v>73</v>
      </c>
      <c r="B346" s="21">
        <v>88</v>
      </c>
      <c r="D346" s="22">
        <f t="shared" si="51"/>
        <v>0</v>
      </c>
      <c r="E346" s="22">
        <f t="shared" si="52"/>
        <v>0</v>
      </c>
      <c r="F346" s="22">
        <f t="shared" si="53"/>
        <v>0</v>
      </c>
      <c r="G346" s="22">
        <f>IF(B346&gt;G$26*G$27+G$33,0,(SUM(D$258:D345)*((1+G$22/G$23)^((B346-G$33)/(12/G$23))-1))-SUM(G$258:G345))</f>
        <v>0</v>
      </c>
      <c r="H346" s="2"/>
      <c r="K346" s="2">
        <f t="shared" si="49"/>
        <v>0</v>
      </c>
      <c r="L346" s="2">
        <f t="shared" si="50"/>
        <v>0</v>
      </c>
      <c r="M346" s="2">
        <f>IF(B346&lt;G$33,0,SUM(E347:E$390))</f>
        <v>0</v>
      </c>
    </row>
    <row r="347" spans="1:13" ht="18.75">
      <c r="A347" s="8" t="s">
        <v>53</v>
      </c>
      <c r="B347" s="21">
        <v>89</v>
      </c>
      <c r="D347" s="22">
        <f t="shared" si="51"/>
        <v>0</v>
      </c>
      <c r="E347" s="22">
        <f t="shared" si="52"/>
        <v>0</v>
      </c>
      <c r="F347" s="22">
        <f t="shared" si="53"/>
        <v>0</v>
      </c>
      <c r="G347" s="22">
        <f>IF(B347&gt;G$26*G$27+G$33,0,(SUM(D$258:D346)*((1+G$22/G$23)^((B347-G$33)/(12/G$23))-1))-SUM(G$258:G346))</f>
        <v>0</v>
      </c>
      <c r="H347" s="2"/>
      <c r="K347" s="2">
        <f t="shared" si="49"/>
        <v>0</v>
      </c>
      <c r="L347" s="2">
        <f t="shared" si="50"/>
        <v>0</v>
      </c>
      <c r="M347" s="2">
        <f>IF(B347&lt;G$33,0,SUM(E348:E$390))</f>
        <v>0</v>
      </c>
    </row>
    <row r="348" spans="1:13" ht="18.75">
      <c r="A348" s="8" t="s">
        <v>54</v>
      </c>
      <c r="B348" s="21">
        <v>90</v>
      </c>
      <c r="D348" s="22">
        <f t="shared" si="51"/>
        <v>0</v>
      </c>
      <c r="E348" s="22">
        <f t="shared" si="52"/>
        <v>0</v>
      </c>
      <c r="F348" s="22">
        <f t="shared" si="53"/>
        <v>0</v>
      </c>
      <c r="G348" s="22">
        <f>IF(B348&gt;G$26*G$27+G$33,0,(SUM(D$258:D347)*((1+G$22/G$23)^((B348-G$33)/(12/G$23))-1))-SUM(G$258:G347))</f>
        <v>0</v>
      </c>
      <c r="H348" s="2"/>
      <c r="J348" s="2">
        <f>I354*$G$34*0.3</f>
        <v>0</v>
      </c>
      <c r="K348" s="2">
        <f t="shared" si="49"/>
        <v>0</v>
      </c>
      <c r="L348" s="2">
        <f t="shared" si="50"/>
        <v>0</v>
      </c>
      <c r="M348" s="2">
        <f>IF(B348&lt;G$33,0,SUM(E349:E$390))</f>
        <v>0</v>
      </c>
    </row>
    <row r="349" spans="1:13" ht="18.75">
      <c r="A349" s="8" t="s">
        <v>74</v>
      </c>
      <c r="B349" s="21">
        <v>91</v>
      </c>
      <c r="D349" s="22">
        <f t="shared" si="51"/>
        <v>0</v>
      </c>
      <c r="E349" s="22">
        <f t="shared" si="52"/>
        <v>0</v>
      </c>
      <c r="F349" s="22">
        <f t="shared" si="53"/>
        <v>0</v>
      </c>
      <c r="G349" s="22">
        <f>IF(B349&gt;G$26*G$27+G$33,0,(SUM(D$258:D348)*((1+G$22/G$23)^((B349-G$33)/(12/G$23))-1))-SUM(G$258:G348))</f>
        <v>0</v>
      </c>
      <c r="H349" s="2"/>
      <c r="K349" s="2">
        <f t="shared" si="49"/>
        <v>0</v>
      </c>
      <c r="L349" s="2">
        <f t="shared" si="50"/>
        <v>0</v>
      </c>
      <c r="M349" s="2">
        <f>IF(B349&lt;G$33,0,SUM(E350:E$390))</f>
        <v>0</v>
      </c>
    </row>
    <row r="350" spans="1:13" ht="18.75">
      <c r="A350" s="8" t="s">
        <v>75</v>
      </c>
      <c r="B350" s="21">
        <v>92</v>
      </c>
      <c r="D350" s="22">
        <f t="shared" si="51"/>
        <v>0</v>
      </c>
      <c r="E350" s="22">
        <f t="shared" si="52"/>
        <v>0</v>
      </c>
      <c r="F350" s="22">
        <f t="shared" si="53"/>
        <v>0</v>
      </c>
      <c r="G350" s="22">
        <f>IF(B350&gt;G$26*G$27+G$33,0,(SUM(D$258:D349)*((1+G$22/G$23)^((B350-G$33)/(12/G$23))-1))-SUM(G$258:G349))</f>
        <v>0</v>
      </c>
      <c r="H350" s="2"/>
      <c r="K350" s="2">
        <f t="shared" si="49"/>
        <v>0</v>
      </c>
      <c r="L350" s="2">
        <f t="shared" si="50"/>
        <v>0</v>
      </c>
      <c r="M350" s="2">
        <f>IF(B350&lt;G$33,0,SUM(E351:E$390))</f>
        <v>0</v>
      </c>
    </row>
    <row r="351" spans="1:13" ht="18.75">
      <c r="A351" s="8" t="s">
        <v>55</v>
      </c>
      <c r="B351" s="21">
        <v>93</v>
      </c>
      <c r="D351" s="22">
        <f t="shared" si="51"/>
        <v>0</v>
      </c>
      <c r="E351" s="22">
        <f t="shared" si="52"/>
        <v>0</v>
      </c>
      <c r="F351" s="22">
        <f t="shared" si="53"/>
        <v>0</v>
      </c>
      <c r="G351" s="22">
        <f>IF(B351&gt;G$26*G$27+G$33,0,(SUM(D$258:D350)*((1+G$22/G$23)^((B351-G$33)/(12/G$23))-1))-SUM(G$258:G350))</f>
        <v>0</v>
      </c>
      <c r="H351" s="2"/>
      <c r="J351" s="2">
        <f>I354*$G$34*0.3</f>
        <v>0</v>
      </c>
      <c r="K351" s="2">
        <f t="shared" si="49"/>
        <v>0</v>
      </c>
      <c r="L351" s="2">
        <f t="shared" si="50"/>
        <v>0</v>
      </c>
      <c r="M351" s="2">
        <f>IF(B351&lt;G$33,0,SUM(E352:E$390))</f>
        <v>0</v>
      </c>
    </row>
    <row r="352" spans="1:13" ht="18.75">
      <c r="A352" s="8" t="s">
        <v>49</v>
      </c>
      <c r="B352" s="21">
        <v>94</v>
      </c>
      <c r="D352" s="22">
        <f t="shared" si="51"/>
        <v>0</v>
      </c>
      <c r="E352" s="22">
        <f t="shared" si="52"/>
        <v>0</v>
      </c>
      <c r="F352" s="22">
        <f t="shared" si="53"/>
        <v>0</v>
      </c>
      <c r="G352" s="22">
        <f>IF(B352&gt;G$26*G$27+G$33,0,(SUM(D$258:D351)*((1+G$22/G$23)^((B352-G$33)/(12/G$23))-1))-SUM(G$258:G351))</f>
        <v>0</v>
      </c>
      <c r="H352" s="2"/>
      <c r="K352" s="2">
        <f t="shared" si="49"/>
        <v>0</v>
      </c>
      <c r="L352" s="2">
        <f t="shared" si="50"/>
        <v>0</v>
      </c>
      <c r="M352" s="2">
        <f>IF(B352&lt;G$33,0,SUM(E353:E$390))</f>
        <v>0</v>
      </c>
    </row>
    <row r="353" spans="1:13" ht="18.75">
      <c r="A353" s="8" t="s">
        <v>76</v>
      </c>
      <c r="B353" s="21">
        <v>95</v>
      </c>
      <c r="D353" s="22">
        <f t="shared" si="51"/>
        <v>0</v>
      </c>
      <c r="E353" s="22">
        <f t="shared" si="52"/>
        <v>0</v>
      </c>
      <c r="F353" s="22">
        <f t="shared" si="53"/>
        <v>0</v>
      </c>
      <c r="G353" s="22">
        <f>IF(B353&gt;G$26*G$27+G$33,0,(SUM(D$258:D352)*((1+G$22/G$23)^((B353-G$33)/(12/G$23))-1))-SUM(G$258:G352))</f>
        <v>0</v>
      </c>
      <c r="H353" s="2"/>
      <c r="K353" s="2">
        <f t="shared" si="49"/>
        <v>0</v>
      </c>
      <c r="L353" s="2">
        <f t="shared" si="50"/>
        <v>0</v>
      </c>
      <c r="M353" s="2">
        <f>IF(B353&lt;G$33,0,SUM(E354:E$390))</f>
        <v>0</v>
      </c>
    </row>
    <row r="354" spans="1:13" ht="18.75">
      <c r="A354" s="8" t="s">
        <v>50</v>
      </c>
      <c r="B354" s="21">
        <v>96</v>
      </c>
      <c r="D354" s="22">
        <f t="shared" si="51"/>
        <v>0</v>
      </c>
      <c r="E354" s="22">
        <f t="shared" si="52"/>
        <v>0</v>
      </c>
      <c r="F354" s="22">
        <f t="shared" si="53"/>
        <v>0</v>
      </c>
      <c r="G354" s="22">
        <f>IF(B354&gt;G$26*G$27+G$33,0,(SUM(D$258:D353)*((1+G$22/G$23)^((B354-G$33)/(12/G$23))-1))-SUM(G$258:G353))</f>
        <v>0</v>
      </c>
      <c r="H354" s="2"/>
      <c r="I354" s="2">
        <f>SUM(F343:F354)-SUM(G343:G354)</f>
        <v>0</v>
      </c>
      <c r="J354" s="2">
        <f>I354*$G$34*0.25</f>
        <v>0</v>
      </c>
      <c r="K354" s="2">
        <f t="shared" si="49"/>
        <v>0</v>
      </c>
      <c r="L354" s="2">
        <f t="shared" si="50"/>
        <v>0</v>
      </c>
      <c r="M354" s="2">
        <f>IF(B354&lt;G$33,0,SUM(E355:E$390))</f>
        <v>0</v>
      </c>
    </row>
    <row r="355" spans="1:13" ht="18.75">
      <c r="A355" s="8" t="s">
        <v>51</v>
      </c>
      <c r="B355" s="21">
        <v>97</v>
      </c>
      <c r="D355" s="22">
        <f t="shared" si="51"/>
        <v>0</v>
      </c>
      <c r="E355" s="22">
        <f t="shared" si="52"/>
        <v>0</v>
      </c>
      <c r="F355" s="22">
        <f t="shared" si="53"/>
        <v>0</v>
      </c>
      <c r="G355" s="22">
        <f>IF(B355&gt;G$26*G$27+G$33,0,(SUM(D$258:D354)*((1+G$22/G$23)^((B355-G$33)/(12/G$23))-1))-SUM(G$258:G354))</f>
        <v>0</v>
      </c>
      <c r="H355" s="2"/>
      <c r="K355" s="2">
        <f aca="true" t="shared" si="54" ref="K355:K390">C355+D355+E355</f>
        <v>0</v>
      </c>
      <c r="L355" s="2">
        <f t="shared" si="50"/>
        <v>0</v>
      </c>
      <c r="M355" s="2">
        <f>IF(B355&lt;G$33,0,SUM(E356:E$390))</f>
        <v>0</v>
      </c>
    </row>
    <row r="356" spans="1:13" ht="18.75">
      <c r="A356" s="8" t="s">
        <v>72</v>
      </c>
      <c r="B356" s="21">
        <v>98</v>
      </c>
      <c r="D356" s="22">
        <f t="shared" si="51"/>
        <v>0</v>
      </c>
      <c r="E356" s="22">
        <f t="shared" si="52"/>
        <v>0</v>
      </c>
      <c r="F356" s="22">
        <f t="shared" si="53"/>
        <v>0</v>
      </c>
      <c r="G356" s="22">
        <f>IF(B356&gt;G$26*G$27+G$33,0,(SUM(D$258:D355)*((1+G$22/G$23)^((B356-G$33)/(12/G$23))-1))-SUM(G$258:G355))</f>
        <v>0</v>
      </c>
      <c r="H356" s="2"/>
      <c r="K356" s="2">
        <f t="shared" si="54"/>
        <v>0</v>
      </c>
      <c r="L356" s="2">
        <f t="shared" si="50"/>
        <v>0</v>
      </c>
      <c r="M356" s="2">
        <f>IF(B356&lt;G$33,0,SUM(E357:E$390))</f>
        <v>0</v>
      </c>
    </row>
    <row r="357" spans="1:13" ht="18.75">
      <c r="A357" s="8" t="s">
        <v>52</v>
      </c>
      <c r="B357" s="21">
        <v>99</v>
      </c>
      <c r="D357" s="22">
        <f t="shared" si="51"/>
        <v>0</v>
      </c>
      <c r="E357" s="22">
        <f t="shared" si="52"/>
        <v>0</v>
      </c>
      <c r="F357" s="22">
        <f t="shared" si="53"/>
        <v>0</v>
      </c>
      <c r="G357" s="22">
        <f>IF(B357&gt;G$26*G$27+G$33,0,(SUM(D$258:D356)*((1+G$22/G$23)^((B357-G$33)/(12/G$23))-1))-SUM(G$258:G356))</f>
        <v>0</v>
      </c>
      <c r="H357" s="2"/>
      <c r="J357" s="2">
        <f>I366*G$34*0.15</f>
        <v>0</v>
      </c>
      <c r="K357" s="2">
        <f t="shared" si="54"/>
        <v>0</v>
      </c>
      <c r="L357" s="2">
        <f t="shared" si="50"/>
        <v>0</v>
      </c>
      <c r="M357" s="2">
        <f>IF(B357&lt;G$33,0,SUM(E358:E$390))</f>
        <v>0</v>
      </c>
    </row>
    <row r="358" spans="1:13" ht="18.75">
      <c r="A358" s="8" t="s">
        <v>73</v>
      </c>
      <c r="B358" s="21">
        <v>100</v>
      </c>
      <c r="D358" s="22">
        <f t="shared" si="51"/>
        <v>0</v>
      </c>
      <c r="E358" s="22">
        <f t="shared" si="52"/>
        <v>0</v>
      </c>
      <c r="F358" s="22">
        <f t="shared" si="53"/>
        <v>0</v>
      </c>
      <c r="G358" s="22">
        <f>IF(B358&gt;G$26*G$27+G$33,0,(SUM(D$258:D357)*((1+G$22/G$23)^((B358-G$33)/(12/G$23))-1))-SUM(G$258:G357))</f>
        <v>0</v>
      </c>
      <c r="H358" s="2"/>
      <c r="K358" s="2">
        <f t="shared" si="54"/>
        <v>0</v>
      </c>
      <c r="L358" s="2">
        <f t="shared" si="50"/>
        <v>0</v>
      </c>
      <c r="M358" s="2">
        <f>IF(B358&lt;G$33,0,SUM(E359:E$390))</f>
        <v>0</v>
      </c>
    </row>
    <row r="359" spans="1:13" ht="18.75">
      <c r="A359" s="8" t="s">
        <v>53</v>
      </c>
      <c r="B359" s="21">
        <v>101</v>
      </c>
      <c r="D359" s="22">
        <f t="shared" si="51"/>
        <v>0</v>
      </c>
      <c r="E359" s="22">
        <f t="shared" si="52"/>
        <v>0</v>
      </c>
      <c r="F359" s="22">
        <f t="shared" si="53"/>
        <v>0</v>
      </c>
      <c r="G359" s="22">
        <f>IF(B359&gt;G$26*G$27+G$33,0,(SUM(D$258:D358)*((1+G$22/G$23)^((B359-G$33)/(12/G$23))-1))-SUM(G$258:G358))</f>
        <v>0</v>
      </c>
      <c r="H359" s="2"/>
      <c r="K359" s="2">
        <f t="shared" si="54"/>
        <v>0</v>
      </c>
      <c r="L359" s="2">
        <f t="shared" si="50"/>
        <v>0</v>
      </c>
      <c r="M359" s="2">
        <f>IF(B359&lt;G$33,0,SUM(E360:E$390))</f>
        <v>0</v>
      </c>
    </row>
    <row r="360" spans="1:13" ht="18.75">
      <c r="A360" s="8" t="s">
        <v>54</v>
      </c>
      <c r="B360" s="21">
        <v>102</v>
      </c>
      <c r="D360" s="22">
        <f t="shared" si="51"/>
        <v>0</v>
      </c>
      <c r="E360" s="22">
        <f t="shared" si="52"/>
        <v>0</v>
      </c>
      <c r="F360" s="22">
        <f t="shared" si="53"/>
        <v>0</v>
      </c>
      <c r="G360" s="22">
        <f>IF(B360&gt;G$26*G$27+G$33,0,(SUM(D$258:D359)*((1+G$22/G$23)^((B360-G$33)/(12/G$23))-1))-SUM(G$258:G359))</f>
        <v>0</v>
      </c>
      <c r="H360" s="2"/>
      <c r="J360" s="2">
        <f>I366*$G$34*0.3</f>
        <v>0</v>
      </c>
      <c r="K360" s="2">
        <f t="shared" si="54"/>
        <v>0</v>
      </c>
      <c r="L360" s="2">
        <f t="shared" si="50"/>
        <v>0</v>
      </c>
      <c r="M360" s="2">
        <f>IF(B360&lt;G$33,0,SUM(E361:E$390))</f>
        <v>0</v>
      </c>
    </row>
    <row r="361" spans="1:13" ht="18.75">
      <c r="A361" s="8" t="s">
        <v>74</v>
      </c>
      <c r="B361" s="21">
        <v>103</v>
      </c>
      <c r="D361" s="22">
        <f t="shared" si="51"/>
        <v>0</v>
      </c>
      <c r="E361" s="22">
        <f t="shared" si="52"/>
        <v>0</v>
      </c>
      <c r="F361" s="22">
        <f t="shared" si="53"/>
        <v>0</v>
      </c>
      <c r="G361" s="22">
        <f>IF(B361&gt;G$26*G$27+G$33,0,(SUM(D$258:D360)*((1+G$22/G$23)^((B361-G$33)/(12/G$23))-1))-SUM(G$258:G360))</f>
        <v>0</v>
      </c>
      <c r="H361" s="2"/>
      <c r="K361" s="2">
        <f t="shared" si="54"/>
        <v>0</v>
      </c>
      <c r="L361" s="2">
        <f t="shared" si="50"/>
        <v>0</v>
      </c>
      <c r="M361" s="2">
        <f>IF(B361&lt;G$33,0,SUM(E362:E$390))</f>
        <v>0</v>
      </c>
    </row>
    <row r="362" spans="1:13" ht="18.75">
      <c r="A362" s="8" t="s">
        <v>75</v>
      </c>
      <c r="B362" s="21">
        <v>104</v>
      </c>
      <c r="D362" s="22">
        <f t="shared" si="51"/>
        <v>0</v>
      </c>
      <c r="E362" s="22">
        <f t="shared" si="52"/>
        <v>0</v>
      </c>
      <c r="F362" s="22">
        <f t="shared" si="53"/>
        <v>0</v>
      </c>
      <c r="G362" s="22">
        <f>IF(B362&gt;G$26*G$27+G$33,0,(SUM(D$258:D361)*((1+G$22/G$23)^((B362-G$33)/(12/G$23))-1))-SUM(G$258:G361))</f>
        <v>0</v>
      </c>
      <c r="H362" s="2"/>
      <c r="K362" s="2">
        <f t="shared" si="54"/>
        <v>0</v>
      </c>
      <c r="L362" s="2">
        <f t="shared" si="50"/>
        <v>0</v>
      </c>
      <c r="M362" s="2">
        <f>IF(B362&lt;G$33,0,SUM(E363:E$390))</f>
        <v>0</v>
      </c>
    </row>
    <row r="363" spans="1:13" ht="18.75">
      <c r="A363" s="8" t="s">
        <v>55</v>
      </c>
      <c r="B363" s="21">
        <v>105</v>
      </c>
      <c r="D363" s="22">
        <f t="shared" si="51"/>
        <v>0</v>
      </c>
      <c r="E363" s="22">
        <f t="shared" si="52"/>
        <v>0</v>
      </c>
      <c r="F363" s="22">
        <f t="shared" si="53"/>
        <v>0</v>
      </c>
      <c r="G363" s="22">
        <f>IF(B363&gt;G$26*G$27+G$33,0,(SUM(D$258:D362)*((1+G$22/G$23)^((B363-G$33)/(12/G$23))-1))-SUM(G$258:G362))</f>
        <v>0</v>
      </c>
      <c r="H363" s="2"/>
      <c r="J363" s="2">
        <f>I366*$G$34*0.3</f>
        <v>0</v>
      </c>
      <c r="K363" s="2">
        <f t="shared" si="54"/>
        <v>0</v>
      </c>
      <c r="L363" s="2">
        <f t="shared" si="50"/>
        <v>0</v>
      </c>
      <c r="M363" s="2">
        <f>IF(B363&lt;G$33,0,SUM(E364:E$390))</f>
        <v>0</v>
      </c>
    </row>
    <row r="364" spans="1:13" ht="18.75">
      <c r="A364" s="8" t="s">
        <v>49</v>
      </c>
      <c r="B364" s="21">
        <v>106</v>
      </c>
      <c r="D364" s="22">
        <f t="shared" si="51"/>
        <v>0</v>
      </c>
      <c r="E364" s="22">
        <f t="shared" si="52"/>
        <v>0</v>
      </c>
      <c r="F364" s="22">
        <f t="shared" si="53"/>
        <v>0</v>
      </c>
      <c r="G364" s="22">
        <f>IF(B364&gt;G$26*G$27+G$33,0,(SUM(D$258:D363)*((1+G$22/G$23)^((B364-G$33)/(12/G$23))-1))-SUM(G$258:G363))</f>
        <v>0</v>
      </c>
      <c r="H364" s="2"/>
      <c r="K364" s="2">
        <f t="shared" si="54"/>
        <v>0</v>
      </c>
      <c r="L364" s="2">
        <f aca="true" t="shared" si="55" ref="L364:L390">C364+E364-J364+D364</f>
        <v>0</v>
      </c>
      <c r="M364" s="2">
        <f>IF(B364&lt;G$33,0,SUM(E365:E$390))</f>
        <v>0</v>
      </c>
    </row>
    <row r="365" spans="1:13" ht="18.75">
      <c r="A365" s="8" t="s">
        <v>76</v>
      </c>
      <c r="B365" s="21">
        <v>107</v>
      </c>
      <c r="D365" s="22">
        <f t="shared" si="51"/>
        <v>0</v>
      </c>
      <c r="E365" s="22">
        <f t="shared" si="52"/>
        <v>0</v>
      </c>
      <c r="F365" s="22">
        <f t="shared" si="53"/>
        <v>0</v>
      </c>
      <c r="G365" s="22">
        <f>IF(B365&gt;G$26*G$27+G$33,0,(SUM(D$258:D364)*((1+G$22/G$23)^((B365-G$33)/(12/G$23))-1))-SUM(G$258:G364))</f>
        <v>0</v>
      </c>
      <c r="H365" s="2"/>
      <c r="K365" s="2">
        <f t="shared" si="54"/>
        <v>0</v>
      </c>
      <c r="L365" s="2">
        <f t="shared" si="55"/>
        <v>0</v>
      </c>
      <c r="M365" s="2">
        <f>IF(B365&lt;G$33,0,SUM(E366:E$390))</f>
        <v>0</v>
      </c>
    </row>
    <row r="366" spans="1:13" ht="18.75">
      <c r="A366" s="8" t="s">
        <v>50</v>
      </c>
      <c r="B366" s="21">
        <v>108</v>
      </c>
      <c r="D366" s="22">
        <f t="shared" si="51"/>
        <v>0</v>
      </c>
      <c r="E366" s="22">
        <f t="shared" si="52"/>
        <v>0</v>
      </c>
      <c r="F366" s="22">
        <f t="shared" si="53"/>
        <v>0</v>
      </c>
      <c r="G366" s="22">
        <f>IF(B366&gt;G$26*G$27+G$33,0,(SUM(D$258:D365)*((1+G$22/G$23)^((B366-G$33)/(12/G$23))-1))-SUM(G$258:G365))</f>
        <v>0</v>
      </c>
      <c r="H366" s="2"/>
      <c r="I366" s="2">
        <f>SUM(F355:F366)-SUM(G355:G366)</f>
        <v>0</v>
      </c>
      <c r="J366" s="2">
        <f>I366*$G$34*0.25</f>
        <v>0</v>
      </c>
      <c r="K366" s="2">
        <f t="shared" si="54"/>
        <v>0</v>
      </c>
      <c r="L366" s="2">
        <f t="shared" si="55"/>
        <v>0</v>
      </c>
      <c r="M366" s="2">
        <f>IF(B366&lt;G$33,0,SUM(E367:E$390))</f>
        <v>0</v>
      </c>
    </row>
    <row r="367" spans="1:13" ht="18.75">
      <c r="A367" s="8" t="s">
        <v>51</v>
      </c>
      <c r="B367" s="21">
        <v>109</v>
      </c>
      <c r="D367" s="22">
        <f aca="true" t="shared" si="56" ref="D367:D390">IF(B367=$G$26*G$27+G$33,-G$19*G$21*((1+G$22/G$23)^(G$26*G$23)),0)</f>
        <v>0</v>
      </c>
      <c r="E367" s="22">
        <f aca="true" t="shared" si="57" ref="E367:E390">IF(B367&lt;$G$33,0,IF(B367&lt;=G$26*G$27+$G$33-1,+(G$18*12/G$27),0))</f>
        <v>0</v>
      </c>
      <c r="F367" s="22">
        <f aca="true" t="shared" si="58" ref="F367:F398">IF(B367&lt;G$33,0,(+G$18*G$26*G$27-G$19)/SUM(M$259:M$390)*M367)</f>
        <v>0</v>
      </c>
      <c r="G367" s="22">
        <f>IF(B367&gt;G$26*G$27+G$33,0,(SUM(D$258:D366)*((1+G$22/G$23)^((B367-G$33)/(12/G$23))-1))-SUM(G$258:G366))</f>
        <v>0</v>
      </c>
      <c r="H367" s="2"/>
      <c r="K367" s="2">
        <f t="shared" si="54"/>
        <v>0</v>
      </c>
      <c r="L367" s="2">
        <f t="shared" si="55"/>
        <v>0</v>
      </c>
      <c r="M367" s="2">
        <f>IF(B367&lt;G$33,0,SUM(E368:E$390))</f>
        <v>0</v>
      </c>
    </row>
    <row r="368" spans="1:13" ht="18.75">
      <c r="A368" s="8" t="s">
        <v>72</v>
      </c>
      <c r="B368" s="21">
        <v>110</v>
      </c>
      <c r="D368" s="22">
        <f t="shared" si="56"/>
        <v>0</v>
      </c>
      <c r="E368" s="22">
        <f t="shared" si="57"/>
        <v>0</v>
      </c>
      <c r="F368" s="22">
        <f t="shared" si="58"/>
        <v>0</v>
      </c>
      <c r="G368" s="22">
        <f>IF(B368&gt;G$26*G$27+G$33,0,(SUM(D$258:D367)*((1+G$22/G$23)^((B368-G$33)/(12/G$23))-1))-SUM(G$258:G367))</f>
        <v>0</v>
      </c>
      <c r="H368" s="2"/>
      <c r="K368" s="2">
        <f t="shared" si="54"/>
        <v>0</v>
      </c>
      <c r="L368" s="2">
        <f t="shared" si="55"/>
        <v>0</v>
      </c>
      <c r="M368" s="2">
        <f>IF(B368&lt;G$33,0,SUM(E369:E$390))</f>
        <v>0</v>
      </c>
    </row>
    <row r="369" spans="1:13" ht="18.75">
      <c r="A369" s="8" t="s">
        <v>52</v>
      </c>
      <c r="B369" s="21">
        <v>111</v>
      </c>
      <c r="D369" s="22">
        <f t="shared" si="56"/>
        <v>0</v>
      </c>
      <c r="E369" s="22">
        <f t="shared" si="57"/>
        <v>0</v>
      </c>
      <c r="F369" s="22">
        <f t="shared" si="58"/>
        <v>0</v>
      </c>
      <c r="G369" s="22">
        <f>IF(B369&gt;G$26*G$27+G$33,0,(SUM(D$258:D368)*((1+G$22/G$23)^((B369-G$33)/(12/G$23))-1))-SUM(G$258:G368))</f>
        <v>0</v>
      </c>
      <c r="H369" s="2"/>
      <c r="J369" s="2">
        <f>I378*G$34*0.15</f>
        <v>0</v>
      </c>
      <c r="K369" s="2">
        <f t="shared" si="54"/>
        <v>0</v>
      </c>
      <c r="L369" s="2">
        <f t="shared" si="55"/>
        <v>0</v>
      </c>
      <c r="M369" s="2">
        <f>IF(B369&lt;G$33,0,SUM(E370:E$390))</f>
        <v>0</v>
      </c>
    </row>
    <row r="370" spans="1:13" ht="18.75">
      <c r="A370" s="8" t="s">
        <v>73</v>
      </c>
      <c r="B370" s="21">
        <v>112</v>
      </c>
      <c r="D370" s="22">
        <f t="shared" si="56"/>
        <v>0</v>
      </c>
      <c r="E370" s="22">
        <f t="shared" si="57"/>
        <v>0</v>
      </c>
      <c r="F370" s="22">
        <f t="shared" si="58"/>
        <v>0</v>
      </c>
      <c r="G370" s="22">
        <f>IF(B370&gt;G$26*G$27+G$33,0,(SUM(D$258:D369)*((1+G$22/G$23)^((B370-G$33)/(12/G$23))-1))-SUM(G$258:G369))</f>
        <v>0</v>
      </c>
      <c r="H370" s="2"/>
      <c r="K370" s="2">
        <f t="shared" si="54"/>
        <v>0</v>
      </c>
      <c r="L370" s="2">
        <f t="shared" si="55"/>
        <v>0</v>
      </c>
      <c r="M370" s="2">
        <f>IF(B370&lt;G$33,0,SUM(E371:E$390))</f>
        <v>0</v>
      </c>
    </row>
    <row r="371" spans="1:13" ht="18.75">
      <c r="A371" s="8" t="s">
        <v>53</v>
      </c>
      <c r="B371" s="21">
        <v>113</v>
      </c>
      <c r="D371" s="22">
        <f t="shared" si="56"/>
        <v>0</v>
      </c>
      <c r="E371" s="22">
        <f t="shared" si="57"/>
        <v>0</v>
      </c>
      <c r="F371" s="22">
        <f t="shared" si="58"/>
        <v>0</v>
      </c>
      <c r="G371" s="22">
        <f>IF(B371&gt;G$26*G$27+G$33,0,(SUM(D$258:D370)*((1+G$22/G$23)^((B371-G$33)/(12/G$23))-1))-SUM(G$258:G370))</f>
        <v>0</v>
      </c>
      <c r="H371" s="2"/>
      <c r="K371" s="2">
        <f t="shared" si="54"/>
        <v>0</v>
      </c>
      <c r="L371" s="2">
        <f t="shared" si="55"/>
        <v>0</v>
      </c>
      <c r="M371" s="2">
        <f>IF(B371&lt;G$33,0,SUM(E372:E$390))</f>
        <v>0</v>
      </c>
    </row>
    <row r="372" spans="1:13" ht="18.75">
      <c r="A372" s="8" t="s">
        <v>54</v>
      </c>
      <c r="B372" s="21">
        <v>114</v>
      </c>
      <c r="D372" s="22">
        <f t="shared" si="56"/>
        <v>0</v>
      </c>
      <c r="E372" s="22">
        <f t="shared" si="57"/>
        <v>0</v>
      </c>
      <c r="F372" s="22">
        <f t="shared" si="58"/>
        <v>0</v>
      </c>
      <c r="G372" s="22">
        <f>IF(B372&gt;G$26*G$27+G$33,0,(SUM(D$258:D371)*((1+G$22/G$23)^((B372-G$33)/(12/G$23))-1))-SUM(G$258:G371))</f>
        <v>0</v>
      </c>
      <c r="H372" s="2"/>
      <c r="J372" s="2">
        <f>I378*$G$34*0.3</f>
        <v>0</v>
      </c>
      <c r="K372" s="2">
        <f t="shared" si="54"/>
        <v>0</v>
      </c>
      <c r="L372" s="2">
        <f t="shared" si="55"/>
        <v>0</v>
      </c>
      <c r="M372" s="2">
        <f>IF(B372&lt;G$33,0,SUM(E373:E$390))</f>
        <v>0</v>
      </c>
    </row>
    <row r="373" spans="1:13" ht="18.75">
      <c r="A373" s="8" t="s">
        <v>74</v>
      </c>
      <c r="B373" s="21">
        <v>115</v>
      </c>
      <c r="D373" s="22">
        <f t="shared" si="56"/>
        <v>0</v>
      </c>
      <c r="E373" s="22">
        <f t="shared" si="57"/>
        <v>0</v>
      </c>
      <c r="F373" s="22">
        <f t="shared" si="58"/>
        <v>0</v>
      </c>
      <c r="G373" s="22">
        <f>IF(B373&gt;G$26*G$27+G$33,0,(SUM(D$258:D372)*((1+G$22/G$23)^((B373-G$33)/(12/G$23))-1))-SUM(G$258:G372))</f>
        <v>0</v>
      </c>
      <c r="H373" s="2"/>
      <c r="K373" s="2">
        <f t="shared" si="54"/>
        <v>0</v>
      </c>
      <c r="L373" s="2">
        <f t="shared" si="55"/>
        <v>0</v>
      </c>
      <c r="M373" s="2">
        <f>IF(B373&lt;G$33,0,SUM(E374:E$390))</f>
        <v>0</v>
      </c>
    </row>
    <row r="374" spans="1:13" ht="18.75">
      <c r="A374" s="8" t="s">
        <v>75</v>
      </c>
      <c r="B374" s="21">
        <v>116</v>
      </c>
      <c r="D374" s="22">
        <f t="shared" si="56"/>
        <v>0</v>
      </c>
      <c r="E374" s="22">
        <f t="shared" si="57"/>
        <v>0</v>
      </c>
      <c r="F374" s="22">
        <f t="shared" si="58"/>
        <v>0</v>
      </c>
      <c r="G374" s="22">
        <f>IF(B374&gt;G$26*G$27+G$33,0,(SUM(D$258:D373)*((1+G$22/G$23)^((B374-G$33)/(12/G$23))-1))-SUM(G$258:G373))</f>
        <v>0</v>
      </c>
      <c r="H374" s="2"/>
      <c r="K374" s="2">
        <f t="shared" si="54"/>
        <v>0</v>
      </c>
      <c r="L374" s="2">
        <f t="shared" si="55"/>
        <v>0</v>
      </c>
      <c r="M374" s="2">
        <f>IF(B374&lt;G$33,0,SUM(E375:E$390))</f>
        <v>0</v>
      </c>
    </row>
    <row r="375" spans="1:13" ht="18.75">
      <c r="A375" s="8" t="s">
        <v>55</v>
      </c>
      <c r="B375" s="21">
        <v>117</v>
      </c>
      <c r="D375" s="22">
        <f t="shared" si="56"/>
        <v>0</v>
      </c>
      <c r="E375" s="22">
        <f t="shared" si="57"/>
        <v>0</v>
      </c>
      <c r="F375" s="22">
        <f t="shared" si="58"/>
        <v>0</v>
      </c>
      <c r="G375" s="22">
        <f>IF(B375&gt;G$26*G$27+G$33,0,(SUM(D$258:D374)*((1+G$22/G$23)^((B375-G$33)/(12/G$23))-1))-SUM(G$258:G374))</f>
        <v>0</v>
      </c>
      <c r="H375" s="2"/>
      <c r="J375" s="2">
        <f>I378*$G$34*0.3</f>
        <v>0</v>
      </c>
      <c r="K375" s="2">
        <f t="shared" si="54"/>
        <v>0</v>
      </c>
      <c r="L375" s="2">
        <f t="shared" si="55"/>
        <v>0</v>
      </c>
      <c r="M375" s="2">
        <f>IF(B375&lt;G$33,0,SUM(E376:E$390))</f>
        <v>0</v>
      </c>
    </row>
    <row r="376" spans="1:13" ht="18.75">
      <c r="A376" s="8" t="s">
        <v>49</v>
      </c>
      <c r="B376" s="21">
        <v>118</v>
      </c>
      <c r="D376" s="22">
        <f t="shared" si="56"/>
        <v>0</v>
      </c>
      <c r="E376" s="22">
        <f t="shared" si="57"/>
        <v>0</v>
      </c>
      <c r="F376" s="22">
        <f t="shared" si="58"/>
        <v>0</v>
      </c>
      <c r="G376" s="22">
        <f>IF(B376&gt;G$26*G$27+G$33,0,(SUM(D$258:D375)*((1+G$22/G$23)^((B376-G$33)/(12/G$23))-1))-SUM(G$258:G375))</f>
        <v>0</v>
      </c>
      <c r="H376" s="2"/>
      <c r="K376" s="2">
        <f t="shared" si="54"/>
        <v>0</v>
      </c>
      <c r="L376" s="2">
        <f t="shared" si="55"/>
        <v>0</v>
      </c>
      <c r="M376" s="2">
        <f>IF(B376&lt;G$33,0,SUM(E377:E$390))</f>
        <v>0</v>
      </c>
    </row>
    <row r="377" spans="1:13" ht="18.75">
      <c r="A377" s="8" t="s">
        <v>76</v>
      </c>
      <c r="B377" s="21">
        <v>119</v>
      </c>
      <c r="D377" s="22">
        <f t="shared" si="56"/>
        <v>0</v>
      </c>
      <c r="E377" s="22">
        <f t="shared" si="57"/>
        <v>0</v>
      </c>
      <c r="F377" s="22">
        <f t="shared" si="58"/>
        <v>0</v>
      </c>
      <c r="G377" s="22">
        <f>IF(B377&gt;G$26*G$27+G$33,0,(SUM(D$258:D376)*((1+G$22/G$23)^((B377-G$33)/(12/G$23))-1))-SUM(G$258:G376))</f>
        <v>0</v>
      </c>
      <c r="H377" s="2"/>
      <c r="K377" s="2">
        <f t="shared" si="54"/>
        <v>0</v>
      </c>
      <c r="L377" s="2">
        <f t="shared" si="55"/>
        <v>0</v>
      </c>
      <c r="M377" s="2">
        <f>IF(B377&lt;G$33,0,SUM(E378:E$390))</f>
        <v>0</v>
      </c>
    </row>
    <row r="378" spans="1:13" ht="18.75">
      <c r="A378" s="8" t="s">
        <v>50</v>
      </c>
      <c r="B378" s="21">
        <v>120</v>
      </c>
      <c r="D378" s="22">
        <f t="shared" si="56"/>
        <v>0</v>
      </c>
      <c r="E378" s="22">
        <f t="shared" si="57"/>
        <v>0</v>
      </c>
      <c r="F378" s="22">
        <f t="shared" si="58"/>
        <v>0</v>
      </c>
      <c r="G378" s="22">
        <f>IF(B378&gt;G$26*G$27+G$33,0,(SUM(D$258:D377)*((1+G$22/G$23)^((B378-G$33)/(12/G$23))-1))-SUM(G$258:G377))</f>
        <v>0</v>
      </c>
      <c r="H378" s="2"/>
      <c r="I378" s="2">
        <f>SUM(F367:F378)-SUM(G367:G378)</f>
        <v>0</v>
      </c>
      <c r="J378" s="2">
        <f>I378*$G$34*0.25</f>
        <v>0</v>
      </c>
      <c r="K378" s="2">
        <f t="shared" si="54"/>
        <v>0</v>
      </c>
      <c r="L378" s="2">
        <f t="shared" si="55"/>
        <v>0</v>
      </c>
      <c r="M378" s="2">
        <f>IF(B378&lt;G$33,0,SUM(E379:E$390))</f>
        <v>0</v>
      </c>
    </row>
    <row r="379" spans="1:13" ht="18.75">
      <c r="A379" s="8" t="s">
        <v>51</v>
      </c>
      <c r="B379" s="21">
        <v>121</v>
      </c>
      <c r="D379" s="22">
        <f t="shared" si="56"/>
        <v>0</v>
      </c>
      <c r="E379" s="22">
        <f t="shared" si="57"/>
        <v>0</v>
      </c>
      <c r="F379" s="22">
        <f t="shared" si="58"/>
        <v>0</v>
      </c>
      <c r="G379" s="22">
        <f>IF(B379&gt;G$26*G$27+G$33,0,(SUM(D$258:D378)*((1+G$22/G$23)^((B379-G$33)/(12/G$23))-1))-SUM(G$258:G378))</f>
        <v>0</v>
      </c>
      <c r="H379" s="2"/>
      <c r="K379" s="2">
        <f t="shared" si="54"/>
        <v>0</v>
      </c>
      <c r="L379" s="2">
        <f t="shared" si="55"/>
        <v>0</v>
      </c>
      <c r="M379" s="2">
        <f>IF(B379&lt;G$33,0,SUM(E380:E$390))</f>
        <v>0</v>
      </c>
    </row>
    <row r="380" spans="1:13" ht="18.75">
      <c r="A380" s="8" t="s">
        <v>72</v>
      </c>
      <c r="B380" s="21">
        <v>122</v>
      </c>
      <c r="D380" s="22">
        <f t="shared" si="56"/>
        <v>0</v>
      </c>
      <c r="E380" s="22">
        <f t="shared" si="57"/>
        <v>0</v>
      </c>
      <c r="F380" s="22">
        <f t="shared" si="58"/>
        <v>0</v>
      </c>
      <c r="G380" s="22">
        <f>IF(B380&gt;G$26*G$27+G$33,0,(SUM(D$258:D379)*((1+G$22/G$23)^((B380-G$33)/(12/G$23))-1))-SUM(G$258:G379))</f>
        <v>0</v>
      </c>
      <c r="H380" s="2"/>
      <c r="K380" s="2">
        <f t="shared" si="54"/>
        <v>0</v>
      </c>
      <c r="L380" s="2">
        <f t="shared" si="55"/>
        <v>0</v>
      </c>
      <c r="M380" s="2">
        <f>IF(B380&lt;G$33,0,SUM(E381:E$390))</f>
        <v>0</v>
      </c>
    </row>
    <row r="381" spans="1:13" ht="18.75">
      <c r="A381" s="8" t="s">
        <v>52</v>
      </c>
      <c r="B381" s="21">
        <v>123</v>
      </c>
      <c r="D381" s="22">
        <f t="shared" si="56"/>
        <v>0</v>
      </c>
      <c r="E381" s="22">
        <f t="shared" si="57"/>
        <v>0</v>
      </c>
      <c r="F381" s="22">
        <f t="shared" si="58"/>
        <v>0</v>
      </c>
      <c r="G381" s="22">
        <f>IF(B381&gt;G$26*G$27+G$33,0,(SUM(D$258:D380)*((1+G$22/G$23)^((B381-G$33)/(12/G$23))-1))-SUM(G$258:G380))</f>
        <v>0</v>
      </c>
      <c r="H381" s="2"/>
      <c r="J381" s="2">
        <f>I390*G$34*0.15</f>
        <v>0</v>
      </c>
      <c r="K381" s="2">
        <f t="shared" si="54"/>
        <v>0</v>
      </c>
      <c r="L381" s="2">
        <f t="shared" si="55"/>
        <v>0</v>
      </c>
      <c r="M381" s="2">
        <f>IF(B381&lt;G$33,0,SUM(E382:E$390))</f>
        <v>0</v>
      </c>
    </row>
    <row r="382" spans="1:13" ht="18.75">
      <c r="A382" s="8" t="s">
        <v>73</v>
      </c>
      <c r="B382" s="21">
        <v>124</v>
      </c>
      <c r="D382" s="22">
        <f t="shared" si="56"/>
        <v>0</v>
      </c>
      <c r="E382" s="22">
        <f t="shared" si="57"/>
        <v>0</v>
      </c>
      <c r="F382" s="22">
        <f t="shared" si="58"/>
        <v>0</v>
      </c>
      <c r="G382" s="22">
        <f>IF(B382&gt;G$26*G$27+G$33,0,(SUM(D$258:D381)*((1+G$22/G$23)^((B382-G$33)/(12/G$23))-1))-SUM(G$258:G381))</f>
        <v>0</v>
      </c>
      <c r="H382" s="2"/>
      <c r="K382" s="2">
        <f t="shared" si="54"/>
        <v>0</v>
      </c>
      <c r="L382" s="2">
        <f t="shared" si="55"/>
        <v>0</v>
      </c>
      <c r="M382" s="2">
        <f>IF(B382&lt;G$33,0,SUM(E383:E$390))</f>
        <v>0</v>
      </c>
    </row>
    <row r="383" spans="1:13" ht="18.75">
      <c r="A383" s="8" t="s">
        <v>53</v>
      </c>
      <c r="B383" s="21">
        <v>125</v>
      </c>
      <c r="D383" s="22">
        <f t="shared" si="56"/>
        <v>0</v>
      </c>
      <c r="E383" s="22">
        <f t="shared" si="57"/>
        <v>0</v>
      </c>
      <c r="F383" s="22">
        <f t="shared" si="58"/>
        <v>0</v>
      </c>
      <c r="G383" s="22">
        <f>IF(B383&gt;G$26*G$27+G$33,0,(SUM(D$258:D382)*((1+G$22/G$23)^((B383-G$33)/(12/G$23))-1))-SUM(G$258:G382))</f>
        <v>0</v>
      </c>
      <c r="H383" s="2"/>
      <c r="K383" s="2">
        <f t="shared" si="54"/>
        <v>0</v>
      </c>
      <c r="L383" s="2">
        <f t="shared" si="55"/>
        <v>0</v>
      </c>
      <c r="M383" s="2">
        <f>IF(B383&lt;G$33,0,SUM(E384:E$390))</f>
        <v>0</v>
      </c>
    </row>
    <row r="384" spans="1:13" ht="18.75">
      <c r="A384" s="8" t="s">
        <v>54</v>
      </c>
      <c r="B384" s="21">
        <v>126</v>
      </c>
      <c r="D384" s="22">
        <f t="shared" si="56"/>
        <v>0</v>
      </c>
      <c r="E384" s="22">
        <f t="shared" si="57"/>
        <v>0</v>
      </c>
      <c r="F384" s="22">
        <f t="shared" si="58"/>
        <v>0</v>
      </c>
      <c r="G384" s="22">
        <f>IF(B384&gt;G$26*G$27+G$33,0,(SUM(D$258:D383)*((1+G$22/G$23)^((B384-G$33)/(12/G$23))-1))-SUM(G$258:G383))</f>
        <v>0</v>
      </c>
      <c r="H384" s="2"/>
      <c r="J384" s="2">
        <f>I390*$G$34*0.3</f>
        <v>0</v>
      </c>
      <c r="K384" s="2">
        <f t="shared" si="54"/>
        <v>0</v>
      </c>
      <c r="L384" s="2">
        <f t="shared" si="55"/>
        <v>0</v>
      </c>
      <c r="M384" s="2">
        <f>IF(B384&lt;G$33,0,SUM(E385:E$390))</f>
        <v>0</v>
      </c>
    </row>
    <row r="385" spans="1:13" ht="18.75">
      <c r="A385" s="8" t="s">
        <v>74</v>
      </c>
      <c r="B385" s="21">
        <v>127</v>
      </c>
      <c r="D385" s="22">
        <f t="shared" si="56"/>
        <v>0</v>
      </c>
      <c r="E385" s="22">
        <f t="shared" si="57"/>
        <v>0</v>
      </c>
      <c r="F385" s="22">
        <f t="shared" si="58"/>
        <v>0</v>
      </c>
      <c r="G385" s="22">
        <f>IF(B385&gt;G$26*G$27+G$33,0,(SUM(D$258:D384)*((1+G$22/G$23)^((B385-G$33)/(12/G$23))-1))-SUM(G$258:G384))</f>
        <v>0</v>
      </c>
      <c r="H385" s="2"/>
      <c r="K385" s="2">
        <f t="shared" si="54"/>
        <v>0</v>
      </c>
      <c r="L385" s="2">
        <f t="shared" si="55"/>
        <v>0</v>
      </c>
      <c r="M385" s="2">
        <f>IF(B385&lt;G$33,0,SUM(E386:E$390))</f>
        <v>0</v>
      </c>
    </row>
    <row r="386" spans="1:13" ht="18.75">
      <c r="A386" s="8" t="s">
        <v>75</v>
      </c>
      <c r="B386" s="21">
        <v>128</v>
      </c>
      <c r="D386" s="22">
        <f t="shared" si="56"/>
        <v>0</v>
      </c>
      <c r="E386" s="22">
        <f t="shared" si="57"/>
        <v>0</v>
      </c>
      <c r="F386" s="22">
        <f t="shared" si="58"/>
        <v>0</v>
      </c>
      <c r="G386" s="22">
        <f>IF(B386&gt;G$26*G$27+G$33,0,(SUM(D$258:D385)*((1+G$22/G$23)^((B386-G$33)/(12/G$23))-1))-SUM(G$258:G385))</f>
        <v>0</v>
      </c>
      <c r="H386" s="2"/>
      <c r="K386" s="2">
        <f t="shared" si="54"/>
        <v>0</v>
      </c>
      <c r="L386" s="2">
        <f t="shared" si="55"/>
        <v>0</v>
      </c>
      <c r="M386" s="2">
        <f>IF(B386&lt;G$33,0,SUM(E387:E$390))</f>
        <v>0</v>
      </c>
    </row>
    <row r="387" spans="1:13" ht="18.75">
      <c r="A387" s="8" t="s">
        <v>55</v>
      </c>
      <c r="B387" s="21">
        <v>129</v>
      </c>
      <c r="D387" s="22">
        <f t="shared" si="56"/>
        <v>0</v>
      </c>
      <c r="E387" s="22">
        <f t="shared" si="57"/>
        <v>0</v>
      </c>
      <c r="F387" s="22">
        <f t="shared" si="58"/>
        <v>0</v>
      </c>
      <c r="G387" s="22">
        <f>IF(B387&gt;G$26*G$27+G$33,0,(SUM(D$258:D386)*((1+G$22/G$23)^((B387-G$33)/(12/G$23))-1))-SUM(G$258:G386))</f>
        <v>0</v>
      </c>
      <c r="H387" s="2"/>
      <c r="J387" s="2">
        <f>I390*$G$34*0.3</f>
        <v>0</v>
      </c>
      <c r="K387" s="2">
        <f t="shared" si="54"/>
        <v>0</v>
      </c>
      <c r="L387" s="2">
        <f t="shared" si="55"/>
        <v>0</v>
      </c>
      <c r="M387" s="2">
        <f>IF(B387&lt;G$33,0,SUM(E388:E$390))</f>
        <v>0</v>
      </c>
    </row>
    <row r="388" spans="1:13" ht="18.75">
      <c r="A388" s="8" t="s">
        <v>49</v>
      </c>
      <c r="B388" s="21">
        <v>130</v>
      </c>
      <c r="D388" s="22">
        <f t="shared" si="56"/>
        <v>0</v>
      </c>
      <c r="E388" s="22">
        <f t="shared" si="57"/>
        <v>0</v>
      </c>
      <c r="F388" s="22">
        <f t="shared" si="58"/>
        <v>0</v>
      </c>
      <c r="G388" s="22">
        <f>IF(B388&gt;G$26*G$27+G$33,0,(SUM(D$258:D387)*((1+G$22/G$23)^((B388-G$33)/(12/G$23))-1))-SUM(G$258:G387))</f>
        <v>0</v>
      </c>
      <c r="H388" s="2"/>
      <c r="K388" s="2">
        <f t="shared" si="54"/>
        <v>0</v>
      </c>
      <c r="L388" s="2">
        <f t="shared" si="55"/>
        <v>0</v>
      </c>
      <c r="M388" s="2">
        <f>IF(B388&lt;G$33,0,SUM(E389:E$390))</f>
        <v>0</v>
      </c>
    </row>
    <row r="389" spans="1:13" ht="18.75">
      <c r="A389" s="8" t="s">
        <v>76</v>
      </c>
      <c r="B389" s="21">
        <v>131</v>
      </c>
      <c r="D389" s="22">
        <f t="shared" si="56"/>
        <v>0</v>
      </c>
      <c r="E389" s="22">
        <f t="shared" si="57"/>
        <v>0</v>
      </c>
      <c r="F389" s="22">
        <f t="shared" si="58"/>
        <v>0</v>
      </c>
      <c r="G389" s="22">
        <f>IF(B389&gt;G$26*G$27+G$33,0,(SUM(D$258:D388)*((1+G$22/G$23)^((B389-G$33)/(12/G$23))-1))-SUM(G$258:G388))</f>
        <v>0</v>
      </c>
      <c r="H389" s="2"/>
      <c r="K389" s="2">
        <f t="shared" si="54"/>
        <v>0</v>
      </c>
      <c r="L389" s="2">
        <f t="shared" si="55"/>
        <v>0</v>
      </c>
      <c r="M389" s="2">
        <f>IF(B389&lt;G$33,0,SUM(E$390))</f>
        <v>0</v>
      </c>
    </row>
    <row r="390" spans="1:13" ht="18.75">
      <c r="A390" s="8" t="s">
        <v>50</v>
      </c>
      <c r="B390" s="21">
        <v>132</v>
      </c>
      <c r="D390" s="22">
        <f t="shared" si="56"/>
        <v>0</v>
      </c>
      <c r="E390" s="22">
        <f t="shared" si="57"/>
        <v>0</v>
      </c>
      <c r="F390" s="22">
        <f t="shared" si="58"/>
        <v>0</v>
      </c>
      <c r="G390" s="22">
        <f>IF(B390&gt;G$26*G$27+G$33,0,(SUM(D$258:D389)*((1+G$22/G$23)^((B390-G$33)/(12/G$23))-1))-SUM(G$258:G389))</f>
        <v>0</v>
      </c>
      <c r="H390" s="2"/>
      <c r="I390" s="2">
        <f>SUM(F379:F390)-SUM(G379:G390)</f>
        <v>0</v>
      </c>
      <c r="J390" s="2">
        <f>I390*$G$34*0.25</f>
        <v>0</v>
      </c>
      <c r="K390" s="2">
        <f t="shared" si="54"/>
        <v>0</v>
      </c>
      <c r="L390" s="2">
        <f t="shared" si="55"/>
        <v>0</v>
      </c>
      <c r="M390" s="2">
        <f>IF(B390&lt;G$33,0,SUM(E$390:E391))</f>
        <v>0</v>
      </c>
    </row>
    <row r="391" spans="1:12" ht="18.75">
      <c r="A391" s="8"/>
      <c r="E391" s="19" t="s">
        <v>31</v>
      </c>
      <c r="F391" s="19" t="s">
        <v>31</v>
      </c>
      <c r="L391" s="6">
        <f>IRR(L259:L390,G35/12)*G27</f>
        <v>0.0828240957275807</v>
      </c>
    </row>
    <row r="392" spans="1:13" ht="18.75">
      <c r="A392" s="8"/>
      <c r="D392" s="24"/>
      <c r="E392" s="22">
        <f>SUM(E259:E390)</f>
        <v>1232.5450134824582</v>
      </c>
      <c r="F392" s="22">
        <f>SUM(F259:F390)</f>
        <v>232.54501348245873</v>
      </c>
      <c r="L392" s="9"/>
      <c r="M392" s="9"/>
    </row>
    <row r="393" spans="1:13" ht="18.75">
      <c r="A393" s="8"/>
      <c r="D393" s="24"/>
      <c r="E393" s="24"/>
      <c r="K393" s="6">
        <f>IRR(K259:K390,0.23/12)</f>
        <v>0.012500000000000098</v>
      </c>
      <c r="L393" s="9"/>
      <c r="M393" s="9"/>
    </row>
    <row r="394" spans="1:11" ht="18.75">
      <c r="A394" s="8"/>
      <c r="E394" s="20" t="s">
        <v>57</v>
      </c>
      <c r="K394" s="6">
        <f>K393*12</f>
        <v>0.1500000000000012</v>
      </c>
    </row>
    <row r="395" ht="18.75">
      <c r="A395" s="8"/>
    </row>
    <row r="396" ht="18.75">
      <c r="A396" s="8"/>
    </row>
    <row r="397" ht="18.75">
      <c r="A397" s="8"/>
    </row>
    <row r="398" ht="18.75">
      <c r="A398" s="8"/>
    </row>
    <row r="399" ht="18.75">
      <c r="A399" s="8"/>
    </row>
    <row r="400" ht="18.75">
      <c r="A400" s="8"/>
    </row>
    <row r="401" ht="18.75">
      <c r="A401" s="8"/>
    </row>
    <row r="402" ht="18.75">
      <c r="A402" s="8"/>
    </row>
    <row r="403" ht="18.75">
      <c r="A403" s="8"/>
    </row>
    <row r="404" ht="18.75">
      <c r="A404" s="8"/>
    </row>
    <row r="405" ht="18.75">
      <c r="A405" s="8"/>
    </row>
    <row r="406" ht="18.75">
      <c r="A406" s="8"/>
    </row>
    <row r="407" ht="18.75">
      <c r="A407" s="8"/>
    </row>
    <row r="408" ht="18.75">
      <c r="A408" s="8"/>
    </row>
    <row r="409" ht="18.75">
      <c r="A409" s="8"/>
    </row>
    <row r="410" ht="18.75">
      <c r="A410" s="8"/>
    </row>
    <row r="411" ht="18.75">
      <c r="A411" s="8"/>
    </row>
    <row r="412" ht="18.75">
      <c r="A412" s="8"/>
    </row>
    <row r="413" ht="18.75">
      <c r="A413" s="8"/>
    </row>
    <row r="414" ht="18.75">
      <c r="A414" s="8"/>
    </row>
    <row r="415" ht="18.75">
      <c r="A415" s="8"/>
    </row>
    <row r="416" ht="18.75">
      <c r="A416" s="8"/>
    </row>
    <row r="417" ht="18.75">
      <c r="A417" s="8"/>
    </row>
    <row r="418" ht="18.75">
      <c r="A418" s="8"/>
    </row>
    <row r="419" ht="18.75">
      <c r="A419" s="8"/>
    </row>
    <row r="420" ht="18.75">
      <c r="A420" s="8"/>
    </row>
    <row r="421" ht="18.75">
      <c r="A421" s="8"/>
    </row>
    <row r="422" ht="18.75">
      <c r="A422" s="8"/>
    </row>
    <row r="423" ht="18.75">
      <c r="A423" s="8"/>
    </row>
    <row r="424" ht="18.75">
      <c r="A424" s="8"/>
    </row>
    <row r="425" ht="18.75">
      <c r="A425" s="8"/>
    </row>
    <row r="426" ht="18.75">
      <c r="A426" s="8"/>
    </row>
    <row r="427" ht="18.75">
      <c r="A427" s="8"/>
    </row>
    <row r="428" ht="18.75">
      <c r="A428" s="8"/>
    </row>
    <row r="429" ht="18.75">
      <c r="A429" s="8"/>
    </row>
    <row r="430" ht="18.75">
      <c r="A430" s="8"/>
    </row>
    <row r="431" ht="18.75">
      <c r="A431" s="8"/>
    </row>
    <row r="432" ht="18.75">
      <c r="A432" s="8"/>
    </row>
    <row r="433" ht="18.75">
      <c r="A433" s="8"/>
    </row>
    <row r="434" ht="18.75">
      <c r="A434" s="8"/>
    </row>
    <row r="435" ht="18.75">
      <c r="A435" s="8"/>
    </row>
    <row r="436" ht="18.75">
      <c r="A436" s="8"/>
    </row>
    <row r="437" ht="18.75">
      <c r="A437" s="8"/>
    </row>
    <row r="438" ht="18.75">
      <c r="A438" s="8"/>
    </row>
  </sheetData>
  <sheetProtection/>
  <printOptions/>
  <pageMargins left="0.75" right="0.75" top="1" bottom="1" header="0.5" footer="0.5"/>
  <pageSetup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vinood kothari</dc:creator>
  <cp:keywords/>
  <dc:description/>
  <cp:lastModifiedBy>Nidhi Bothra</cp:lastModifiedBy>
  <dcterms:created xsi:type="dcterms:W3CDTF">1998-04-13T01:42:54Z</dcterms:created>
  <dcterms:modified xsi:type="dcterms:W3CDTF">2014-08-15T05:41:59Z</dcterms:modified>
  <cp:category/>
  <cp:version/>
  <cp:contentType/>
  <cp:contentStatus/>
</cp:coreProperties>
</file>