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6840" activeTab="0"/>
  </bookViews>
  <sheets>
    <sheet name="PTIRR" sheetId="1" r:id="rId1"/>
  </sheets>
  <definedNames>
    <definedName name="\0">'PTIRR'!$P$1:$P$20</definedName>
    <definedName name="\o">'PTIRR'!$P$1:$P$20</definedName>
    <definedName name="_Fill" hidden="1">'PTIRR'!$B$44:$B$175</definedName>
    <definedName name="_Regression_Int" localSheetId="0" hidden="1">1</definedName>
    <definedName name="_xlnm.Print_Area" localSheetId="0">'PTIRR'!$L$44:$P$178</definedName>
    <definedName name="Print_Area_MI" localSheetId="0">'PTIRR'!$L$44:$P$178</definedName>
    <definedName name="_xlnm.Print_Titles" localSheetId="0">'PTIRR'!$B:$B</definedName>
    <definedName name="Print_Titles_MI" localSheetId="0">'PTIRR'!$B:$B</definedName>
    <definedName name="Q">'PTIRR'!$B$41:$AE$126</definedName>
    <definedName name="QUARTER">'PTIRR'!$B$41:$AE$126</definedName>
  </definedNames>
  <calcPr fullCalcOnLoad="1"/>
</workbook>
</file>

<file path=xl/sharedStrings.xml><?xml version="1.0" encoding="utf-8"?>
<sst xmlns="http://schemas.openxmlformats.org/spreadsheetml/2006/main" count="380" uniqueCount="75">
  <si>
    <t>V A L I D  F O R  M O N T H L Y  R E N T A L S  O N L Y</t>
  </si>
  <si>
    <t>"#" MEANS THE INPUT IS VARIABLE. YOU MAY CHANGE IT.</t>
  </si>
  <si>
    <t>"x" MEANS THE INPUT IS NOT VARIABLE, OR IS AN OUTUT.</t>
  </si>
  <si>
    <t xml:space="preserve">  #</t>
  </si>
  <si>
    <t>PRE-TAX IRR (LEASE): (See Note 1 below)</t>
  </si>
  <si>
    <t>PRE-TAX IRR (HP): (See Note 1 below)</t>
  </si>
  <si>
    <t xml:space="preserve">  x</t>
  </si>
  <si>
    <t>RENTALS P.M./000 AT THE ABOVE RATE</t>
  </si>
  <si>
    <t>HP INSTALMENTS PM/000 AT ABOVE RATE</t>
  </si>
  <si>
    <t xml:space="preserve">  X</t>
  </si>
  <si>
    <t>ASSET COST / FINANCED AMOUNT</t>
  </si>
  <si>
    <t>LEASE/HP MANAGEMENT FEE</t>
  </si>
  <si>
    <t>SECURITY DEPST (refundable)(See Note 2 below)</t>
  </si>
  <si>
    <t>INTEREST ON DEPOSIT</t>
  </si>
  <si>
    <t>NO. OF COMPOUNDINGS IN A YEAR</t>
  </si>
  <si>
    <t>NO. OF YEARS IN THE LEASE (maximum 11)</t>
  </si>
  <si>
    <t>NO. OF YEARS IN THE HP (maximum 11)</t>
  </si>
  <si>
    <t>PAYMENTS PER YEAR PRESUMED MONTHLY</t>
  </si>
  <si>
    <t>PAYMENTS ASSUMED IN ADVANCE</t>
  </si>
  <si>
    <t>RESIDUAL VALUE</t>
  </si>
  <si>
    <t xml:space="preserve">RATE OF DEPRECIATION </t>
  </si>
  <si>
    <t>INITIALISATION OF THE LEASE ON FIRST OF THE</t>
  </si>
  <si>
    <t>TAX RATE</t>
  </si>
  <si>
    <t>GUESS RATE (CHANGE IN CASE YOU GET A WEIRD ANSWER)</t>
  </si>
  <si>
    <t xml:space="preserve">POST-TAX IRR (LEASE) </t>
  </si>
  <si>
    <t>POST-TAX IRR (HP)</t>
  </si>
  <si>
    <t>Note 1: The IRR inputted takes into account all pre-tax flows including</t>
  </si>
  <si>
    <t>LMF, residual value, security deposit, interest thereon, etc.</t>
  </si>
  <si>
    <t>Note 2: Security deposit has been presumed to be refundable. In case it</t>
  </si>
  <si>
    <t>is adjustable against the resale value, an equal amount of resale</t>
  </si>
  <si>
    <t>value may be input. In case it is adjustable against rentals, the</t>
  </si>
  <si>
    <t>same may be manually changed in the working area.</t>
  </si>
  <si>
    <t>Note 3: HP finance charges have been spread over period on the Sum of</t>
  </si>
  <si>
    <t>Digits basis.</t>
  </si>
  <si>
    <t>-</t>
  </si>
  <si>
    <t>LEASE PTIRR COMPUTATION</t>
  </si>
  <si>
    <t>MONTH</t>
  </si>
  <si>
    <t>COST/RSV</t>
  </si>
  <si>
    <t>SECURITY</t>
  </si>
  <si>
    <t>RENT+</t>
  </si>
  <si>
    <t>DEPRN.</t>
  </si>
  <si>
    <t xml:space="preserve">ACCRUED </t>
  </si>
  <si>
    <t>TAXABLE</t>
  </si>
  <si>
    <t>TAX</t>
  </si>
  <si>
    <t>PRE-TAX</t>
  </si>
  <si>
    <t>PT CFLOW</t>
  </si>
  <si>
    <t>DEPOSIT</t>
  </si>
  <si>
    <t>LMF</t>
  </si>
  <si>
    <t>INTT.ON</t>
  </si>
  <si>
    <t>INCOME</t>
  </si>
  <si>
    <t>FLOW</t>
  </si>
  <si>
    <t>SEC.DEPST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</si>
  <si>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</si>
  <si>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</si>
  <si>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</si>
  <si>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</si>
  <si>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</si>
  <si>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</si>
  <si>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</si>
  <si>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</si>
  <si>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</si>
  <si>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</si>
  <si>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</si>
  <si>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</si>
  <si>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Apirl</t>
  </si>
  <si>
    <t>PRE-TAX AND POST-TAX IRR</t>
  </si>
  <si>
    <t>Verification of Pre-tax IRR</t>
  </si>
  <si>
    <t>HP PTIRR COMPUTATION</t>
  </si>
  <si>
    <t>COST</t>
  </si>
  <si>
    <t>RENT +</t>
  </si>
  <si>
    <t>INTEREST</t>
  </si>
  <si>
    <t>TOTAL RENT</t>
  </si>
  <si>
    <t>HPMF</t>
  </si>
  <si>
    <t>+HPMF</t>
  </si>
  <si>
    <t>RECVABLE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</si>
</sst>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_)"/>
    <numFmt numFmtId="179" formatCode="0_)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178" fontId="0" fillId="0" borderId="0" xfId="0" applyAlignment="1">
      <alignment/>
    </xf>
    <xf numFmtId="178" fontId="21" fillId="0" borderId="10" xfId="0" applyFont="1" applyBorder="1" applyAlignment="1" applyProtection="1">
      <alignment horizontal="left"/>
      <protection/>
    </xf>
    <xf numFmtId="178" fontId="21" fillId="0" borderId="10" xfId="0" applyFont="1" applyBorder="1" applyAlignment="1">
      <alignment/>
    </xf>
    <xf numFmtId="178" fontId="22" fillId="0" borderId="10" xfId="0" applyFont="1" applyBorder="1" applyAlignment="1" applyProtection="1">
      <alignment/>
      <protection locked="0"/>
    </xf>
    <xf numFmtId="178" fontId="21" fillId="0" borderId="10" xfId="0" applyFont="1" applyBorder="1" applyAlignment="1" applyProtection="1">
      <alignment/>
      <protection/>
    </xf>
    <xf numFmtId="178" fontId="21" fillId="33" borderId="10" xfId="0" applyFont="1" applyFill="1" applyBorder="1" applyAlignment="1" applyProtection="1">
      <alignment horizontal="left"/>
      <protection/>
    </xf>
    <xf numFmtId="178" fontId="21" fillId="33" borderId="10" xfId="0" applyFont="1" applyFill="1" applyBorder="1" applyAlignment="1">
      <alignment/>
    </xf>
    <xf numFmtId="10" fontId="22" fillId="33" borderId="10" xfId="0" applyNumberFormat="1" applyFont="1" applyFill="1" applyBorder="1" applyAlignment="1" applyProtection="1">
      <alignment/>
      <protection locked="0"/>
    </xf>
    <xf numFmtId="178" fontId="21" fillId="33" borderId="10" xfId="0" applyFont="1" applyFill="1" applyBorder="1" applyAlignment="1" applyProtection="1">
      <alignment/>
      <protection/>
    </xf>
    <xf numFmtId="178" fontId="22" fillId="33" borderId="10" xfId="0" applyFont="1" applyFill="1" applyBorder="1" applyAlignment="1" applyProtection="1">
      <alignment/>
      <protection locked="0"/>
    </xf>
    <xf numFmtId="179" fontId="21" fillId="33" borderId="10" xfId="0" applyNumberFormat="1" applyFont="1" applyFill="1" applyBorder="1" applyAlignment="1" applyProtection="1">
      <alignment/>
      <protection/>
    </xf>
    <xf numFmtId="179" fontId="22" fillId="33" borderId="10" xfId="0" applyNumberFormat="1" applyFont="1" applyFill="1" applyBorder="1" applyAlignment="1" applyProtection="1">
      <alignment/>
      <protection locked="0"/>
    </xf>
    <xf numFmtId="178" fontId="22" fillId="0" borderId="10" xfId="0" applyFont="1" applyBorder="1" applyAlignment="1" applyProtection="1">
      <alignment horizontal="left"/>
      <protection locked="0"/>
    </xf>
    <xf numFmtId="178" fontId="21" fillId="34" borderId="10" xfId="0" applyFont="1" applyFill="1" applyBorder="1" applyAlignment="1" applyProtection="1">
      <alignment horizontal="left"/>
      <protection/>
    </xf>
    <xf numFmtId="178" fontId="21" fillId="34" borderId="10" xfId="0" applyFont="1" applyFill="1" applyBorder="1" applyAlignment="1">
      <alignment/>
    </xf>
    <xf numFmtId="10" fontId="21" fillId="34" borderId="10" xfId="0" applyNumberFormat="1" applyFont="1" applyFill="1" applyBorder="1" applyAlignment="1" applyProtection="1">
      <alignment/>
      <protection/>
    </xf>
    <xf numFmtId="178" fontId="21" fillId="0" borderId="10" xfId="0" applyFont="1" applyBorder="1" applyAlignment="1" applyProtection="1">
      <alignment horizontal="fill"/>
      <protection/>
    </xf>
    <xf numFmtId="10" fontId="21" fillId="0" borderId="10" xfId="0" applyNumberFormat="1" applyFont="1" applyBorder="1" applyAlignment="1" applyProtection="1">
      <alignment/>
      <protection/>
    </xf>
    <xf numFmtId="179" fontId="21" fillId="0" borderId="10" xfId="0" applyNumberFormat="1" applyFont="1" applyBorder="1" applyAlignment="1" applyProtection="1">
      <alignment/>
      <protection/>
    </xf>
    <xf numFmtId="178" fontId="22" fillId="0" borderId="10" xfId="0" applyFont="1" applyBorder="1" applyAlignment="1" applyProtection="1">
      <alignment horizontal="right"/>
      <protection locked="0"/>
    </xf>
    <xf numFmtId="178" fontId="21" fillId="0" borderId="10" xfId="0" applyNumberFormat="1" applyFont="1" applyBorder="1" applyAlignment="1" applyProtection="1">
      <alignment/>
      <protection/>
    </xf>
    <xf numFmtId="10" fontId="21" fillId="0" borderId="1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23"/>
  <sheetViews>
    <sheetView showGridLines="0" tabSelected="1" zoomScalePageLayoutView="0" workbookViewId="0" topLeftCell="A1">
      <selection activeCell="L324" sqref="A3:L324"/>
    </sheetView>
  </sheetViews>
  <sheetFormatPr defaultColWidth="9.625" defaultRowHeight="12.75"/>
  <cols>
    <col min="1" max="16384" width="9.625" style="2" customWidth="1"/>
  </cols>
  <sheetData>
    <row r="1" spans="1:8" ht="12.75">
      <c r="A1" s="1" t="s">
        <v>0</v>
      </c>
      <c r="H1" s="3"/>
    </row>
    <row r="2" ht="12.75">
      <c r="A2" s="4" t="str">
        <f>REPT("-",LEN(A1))</f>
        <v>-------------------------------------------------------</v>
      </c>
    </row>
    <row r="3" ht="12.75">
      <c r="A3" s="1" t="s">
        <v>1</v>
      </c>
    </row>
    <row r="4" ht="12.75">
      <c r="A4" s="1" t="s">
        <v>2</v>
      </c>
    </row>
    <row r="6" spans="1:7" ht="12.75">
      <c r="A6" s="1" t="s">
        <v>3</v>
      </c>
      <c r="B6" s="5" t="s">
        <v>4</v>
      </c>
      <c r="C6" s="6"/>
      <c r="D6" s="6"/>
      <c r="E6" s="6"/>
      <c r="F6" s="6"/>
      <c r="G6" s="7">
        <v>0.2</v>
      </c>
    </row>
    <row r="7" spans="1:7" ht="12.75">
      <c r="A7" s="1" t="s">
        <v>3</v>
      </c>
      <c r="B7" s="5" t="s">
        <v>5</v>
      </c>
      <c r="C7" s="6"/>
      <c r="D7" s="6"/>
      <c r="E7" s="6"/>
      <c r="F7" s="6"/>
      <c r="G7" s="7">
        <v>0.2</v>
      </c>
    </row>
    <row r="8" spans="1:7" ht="12.75">
      <c r="A8" s="1" t="s">
        <v>6</v>
      </c>
      <c r="B8" s="5" t="s">
        <v>7</v>
      </c>
      <c r="C8" s="6"/>
      <c r="D8" s="6"/>
      <c r="E8" s="6"/>
      <c r="F8" s="6"/>
      <c r="G8" s="8">
        <f>((G10*(1-G12)-(G10*G$11)-G10*G19/((1+G6/G17)^(G15*G17))+((G12*G10*(1+G13/G14)^(G15*G14)))/((1+G6/G17)^(G15*G17))))/(1+PV(G6/G17,G15*G17-1,-1))</f>
        <v>26.059557752445375</v>
      </c>
    </row>
    <row r="9" spans="1:7" ht="12.75">
      <c r="A9" s="1" t="s">
        <v>6</v>
      </c>
      <c r="B9" s="5" t="s">
        <v>8</v>
      </c>
      <c r="C9" s="6"/>
      <c r="D9" s="6"/>
      <c r="E9" s="6"/>
      <c r="F9" s="6"/>
      <c r="G9" s="8">
        <f>((G10*(1-G12)-(G10*G$11)+((G12*G10*(1+G13/G14)^(G16*G14)))/((1+G7/G17)^(G16*G17))))/(1+PV(G7/G17,G16*G17-1,-1))</f>
        <v>26.059557752445375</v>
      </c>
    </row>
    <row r="10" spans="1:7" ht="12.75">
      <c r="A10" s="1" t="s">
        <v>9</v>
      </c>
      <c r="B10" s="5" t="s">
        <v>10</v>
      </c>
      <c r="C10" s="6"/>
      <c r="D10" s="6"/>
      <c r="E10" s="6"/>
      <c r="F10" s="6"/>
      <c r="G10" s="9">
        <v>1000</v>
      </c>
    </row>
    <row r="11" spans="1:7" ht="12.75">
      <c r="A11" s="1" t="s">
        <v>3</v>
      </c>
      <c r="B11" s="5" t="s">
        <v>11</v>
      </c>
      <c r="C11" s="6"/>
      <c r="D11" s="6"/>
      <c r="E11" s="6"/>
      <c r="F11" s="6"/>
      <c r="G11" s="7">
        <v>0</v>
      </c>
    </row>
    <row r="12" spans="1:7" ht="12.75">
      <c r="A12" s="1" t="s">
        <v>3</v>
      </c>
      <c r="B12" s="5" t="s">
        <v>12</v>
      </c>
      <c r="C12" s="6"/>
      <c r="D12" s="6"/>
      <c r="E12" s="6"/>
      <c r="F12" s="6"/>
      <c r="G12" s="7">
        <v>0</v>
      </c>
    </row>
    <row r="13" spans="1:7" ht="12.75">
      <c r="A13" s="1" t="s">
        <v>3</v>
      </c>
      <c r="B13" s="5" t="s">
        <v>13</v>
      </c>
      <c r="C13" s="6"/>
      <c r="D13" s="6"/>
      <c r="E13" s="6"/>
      <c r="F13" s="6"/>
      <c r="G13" s="7">
        <v>0</v>
      </c>
    </row>
    <row r="14" spans="1:7" ht="12.75">
      <c r="A14" s="1" t="s">
        <v>3</v>
      </c>
      <c r="B14" s="5" t="s">
        <v>14</v>
      </c>
      <c r="C14" s="6"/>
      <c r="D14" s="6"/>
      <c r="E14" s="6"/>
      <c r="F14" s="6"/>
      <c r="G14" s="10">
        <v>12</v>
      </c>
    </row>
    <row r="15" spans="1:7" ht="12.75">
      <c r="A15" s="1" t="s">
        <v>3</v>
      </c>
      <c r="B15" s="5" t="s">
        <v>15</v>
      </c>
      <c r="C15" s="6"/>
      <c r="D15" s="6"/>
      <c r="E15" s="6"/>
      <c r="F15" s="6"/>
      <c r="G15" s="11">
        <v>5</v>
      </c>
    </row>
    <row r="16" spans="1:7" ht="12.75">
      <c r="A16" s="1" t="s">
        <v>3</v>
      </c>
      <c r="B16" s="5" t="s">
        <v>16</v>
      </c>
      <c r="C16" s="6"/>
      <c r="D16" s="6"/>
      <c r="E16" s="6"/>
      <c r="F16" s="6"/>
      <c r="G16" s="11">
        <v>5</v>
      </c>
    </row>
    <row r="17" spans="1:7" ht="12.75">
      <c r="A17" s="1" t="s">
        <v>6</v>
      </c>
      <c r="B17" s="5" t="s">
        <v>17</v>
      </c>
      <c r="C17" s="6"/>
      <c r="D17" s="6"/>
      <c r="E17" s="6"/>
      <c r="F17" s="6"/>
      <c r="G17" s="10">
        <v>12</v>
      </c>
    </row>
    <row r="18" spans="1:7" ht="12.75">
      <c r="A18" s="1" t="s">
        <v>6</v>
      </c>
      <c r="B18" s="5" t="s">
        <v>18</v>
      </c>
      <c r="C18" s="6"/>
      <c r="D18" s="6"/>
      <c r="E18" s="6"/>
      <c r="F18" s="6"/>
      <c r="G18" s="6"/>
    </row>
    <row r="19" spans="1:7" ht="12.75">
      <c r="A19" s="1" t="s">
        <v>3</v>
      </c>
      <c r="B19" s="5" t="s">
        <v>19</v>
      </c>
      <c r="C19" s="6"/>
      <c r="D19" s="6"/>
      <c r="E19" s="6"/>
      <c r="F19" s="6"/>
      <c r="G19" s="7">
        <v>0</v>
      </c>
    </row>
    <row r="20" spans="1:7" ht="12.75">
      <c r="A20" s="1" t="s">
        <v>3</v>
      </c>
      <c r="B20" s="5" t="s">
        <v>20</v>
      </c>
      <c r="C20" s="6"/>
      <c r="D20" s="6"/>
      <c r="E20" s="6"/>
      <c r="F20" s="6"/>
      <c r="G20" s="7">
        <v>0.25</v>
      </c>
    </row>
    <row r="21" spans="1:9" ht="12.75">
      <c r="A21" s="1" t="s">
        <v>3</v>
      </c>
      <c r="B21" s="5" t="s">
        <v>21</v>
      </c>
      <c r="C21" s="6"/>
      <c r="D21" s="6"/>
      <c r="E21" s="6"/>
      <c r="F21" s="6"/>
      <c r="G21" s="11">
        <v>1</v>
      </c>
      <c r="I21" s="4" t="str">
        <f>PROPER(B41)</f>
        <v>Month</v>
      </c>
    </row>
    <row r="22" spans="1:7" ht="12.75">
      <c r="A22" s="12" t="s">
        <v>3</v>
      </c>
      <c r="B22" s="5" t="s">
        <v>22</v>
      </c>
      <c r="C22" s="6"/>
      <c r="D22" s="6"/>
      <c r="E22" s="6"/>
      <c r="F22" s="6"/>
      <c r="G22" s="7">
        <v>0.35</v>
      </c>
    </row>
    <row r="23" spans="1:7" ht="12.75">
      <c r="A23" s="1" t="s">
        <v>3</v>
      </c>
      <c r="B23" s="5" t="s">
        <v>23</v>
      </c>
      <c r="C23" s="6"/>
      <c r="D23" s="6"/>
      <c r="E23" s="6"/>
      <c r="F23" s="6"/>
      <c r="G23" s="7">
        <v>0.1</v>
      </c>
    </row>
    <row r="24" spans="1:7" ht="12.75">
      <c r="A24" s="12" t="s">
        <v>6</v>
      </c>
      <c r="B24" s="13" t="s">
        <v>24</v>
      </c>
      <c r="C24" s="14"/>
      <c r="D24" s="14"/>
      <c r="E24" s="14"/>
      <c r="F24" s="14"/>
      <c r="G24" s="15">
        <f>K178*G17</f>
        <v>0.12753792565160585</v>
      </c>
    </row>
    <row r="25" spans="1:7" ht="12.75">
      <c r="A25" s="1" t="s">
        <v>6</v>
      </c>
      <c r="B25" s="13" t="s">
        <v>25</v>
      </c>
      <c r="C25" s="14"/>
      <c r="D25" s="14"/>
      <c r="E25" s="14"/>
      <c r="F25" s="14"/>
      <c r="G25" s="15">
        <f>K320</f>
        <v>0.12953456496255494</v>
      </c>
    </row>
    <row r="27" ht="12.75">
      <c r="A27" s="1" t="s">
        <v>26</v>
      </c>
    </row>
    <row r="28" ht="12.75">
      <c r="A28" s="1" t="s">
        <v>27</v>
      </c>
    </row>
    <row r="30" ht="12.75">
      <c r="A30" s="1" t="s">
        <v>28</v>
      </c>
    </row>
    <row r="31" ht="12.75">
      <c r="A31" s="1" t="s">
        <v>29</v>
      </c>
    </row>
    <row r="32" ht="12.75">
      <c r="A32" s="1" t="s">
        <v>30</v>
      </c>
    </row>
    <row r="33" ht="12.75">
      <c r="A33" s="1" t="s">
        <v>31</v>
      </c>
    </row>
    <row r="35" ht="12.75">
      <c r="A35" s="1" t="s">
        <v>32</v>
      </c>
    </row>
    <row r="36" ht="12.75">
      <c r="A36" s="1" t="s">
        <v>33</v>
      </c>
    </row>
    <row r="37" spans="1:11" ht="12.75">
      <c r="A37" s="16" t="s">
        <v>34</v>
      </c>
      <c r="B37" s="16" t="s">
        <v>34</v>
      </c>
      <c r="C37" s="16" t="s">
        <v>34</v>
      </c>
      <c r="D37" s="16" t="s">
        <v>34</v>
      </c>
      <c r="E37" s="16" t="s">
        <v>34</v>
      </c>
      <c r="F37" s="16" t="s">
        <v>34</v>
      </c>
      <c r="G37" s="16" t="s">
        <v>34</v>
      </c>
      <c r="H37" s="16" t="s">
        <v>34</v>
      </c>
      <c r="I37" s="16" t="s">
        <v>34</v>
      </c>
      <c r="J37" s="16" t="s">
        <v>34</v>
      </c>
      <c r="K37" s="16" t="s">
        <v>34</v>
      </c>
    </row>
    <row r="39" spans="1:4" ht="12.75">
      <c r="A39" s="3"/>
      <c r="D39" s="1" t="s">
        <v>35</v>
      </c>
    </row>
    <row r="41" spans="1:12" ht="12.75">
      <c r="A41" s="3"/>
      <c r="B41" s="1" t="s">
        <v>36</v>
      </c>
      <c r="C41" s="1" t="s">
        <v>37</v>
      </c>
      <c r="D41" s="1" t="s">
        <v>38</v>
      </c>
      <c r="E41" s="1" t="s">
        <v>39</v>
      </c>
      <c r="F41" s="1" t="s">
        <v>40</v>
      </c>
      <c r="G41" s="1" t="s">
        <v>41</v>
      </c>
      <c r="H41" s="1" t="s">
        <v>42</v>
      </c>
      <c r="I41" s="1" t="s">
        <v>43</v>
      </c>
      <c r="J41" s="1" t="s">
        <v>44</v>
      </c>
      <c r="K41" s="1" t="s">
        <v>45</v>
      </c>
      <c r="L41" s="17"/>
    </row>
    <row r="42" spans="4:10" ht="12.75">
      <c r="D42" s="1" t="s">
        <v>46</v>
      </c>
      <c r="E42" s="1" t="s">
        <v>47</v>
      </c>
      <c r="G42" s="1" t="s">
        <v>48</v>
      </c>
      <c r="H42" s="1" t="s">
        <v>49</v>
      </c>
      <c r="J42" s="1" t="s">
        <v>50</v>
      </c>
    </row>
    <row r="43" spans="1:7" ht="12.75">
      <c r="A43" s="3"/>
      <c r="B43" s="18"/>
      <c r="G43" s="1" t="s">
        <v>51</v>
      </c>
    </row>
    <row r="44" spans="1:11" ht="12.75">
      <c r="A44" s="19" t="s">
        <v>52</v>
      </c>
      <c r="B44" s="18">
        <v>1</v>
      </c>
      <c r="C44" s="4">
        <f aca="true" t="shared" si="0" ref="C44:C55">IF(B44=$G$21,-G$10,0)</f>
        <v>-1000</v>
      </c>
      <c r="D44" s="4">
        <f aca="true" t="shared" si="1" ref="D44:D55">IF(B44=$G$21,G$10*G$12,0)</f>
        <v>0</v>
      </c>
      <c r="E44" s="4">
        <f aca="true" t="shared" si="2" ref="E44:E55">IF(B44&lt;$G$21,0,IF(B44&lt;=G$15*G$17+$G$21-1,+(G$8*12/G$17),0))+IF(B44=$G$21,G$11*G$10,0)</f>
        <v>26.059557752445375</v>
      </c>
      <c r="F44" s="4">
        <v>0</v>
      </c>
      <c r="G44" s="4">
        <f>IF(B44&gt;G$15*G$17+G$21,0,(SUM(D43:D$44)*((1+G$13/G$14)^((B44-G$21)/(12/G$14))-1))-SUM(G43))</f>
        <v>0</v>
      </c>
      <c r="J44" s="4">
        <f aca="true" t="shared" si="3" ref="J44:J75">C44+D44+E44</f>
        <v>-973.9404422475546</v>
      </c>
      <c r="K44" s="4">
        <f aca="true" t="shared" si="4" ref="K44:K51">C44+E44-I44+D44</f>
        <v>-973.9404422475546</v>
      </c>
    </row>
    <row r="45" spans="1:11" ht="12.75">
      <c r="A45" s="19" t="s">
        <v>53</v>
      </c>
      <c r="B45" s="18">
        <v>2</v>
      </c>
      <c r="C45" s="4">
        <f t="shared" si="0"/>
        <v>0</v>
      </c>
      <c r="D45" s="4">
        <f t="shared" si="1"/>
        <v>0</v>
      </c>
      <c r="E45" s="4">
        <f t="shared" si="2"/>
        <v>26.059557752445375</v>
      </c>
      <c r="F45" s="4">
        <v>0</v>
      </c>
      <c r="G45" s="4">
        <f>IF(B45&gt;G$15*G$17+G$21,0,(SUM(D$44)*((1+G$13/G$14)^((B45-G$21)/(12/G$14))-1))-SUM(G$43:G44))</f>
        <v>0</v>
      </c>
      <c r="J45" s="4">
        <f t="shared" si="3"/>
        <v>26.059557752445375</v>
      </c>
      <c r="K45" s="4">
        <f t="shared" si="4"/>
        <v>26.059557752445375</v>
      </c>
    </row>
    <row r="46" spans="1:11" ht="12.75">
      <c r="A46" s="19" t="s">
        <v>54</v>
      </c>
      <c r="B46" s="18">
        <v>3</v>
      </c>
      <c r="C46" s="4">
        <f t="shared" si="0"/>
        <v>0</v>
      </c>
      <c r="D46" s="4">
        <f t="shared" si="1"/>
        <v>0</v>
      </c>
      <c r="E46" s="4">
        <f t="shared" si="2"/>
        <v>26.059557752445375</v>
      </c>
      <c r="F46" s="4">
        <v>0</v>
      </c>
      <c r="G46" s="4">
        <f>IF(B46&gt;G$15*G$17+G$21,0,(SUM(D$44:D45)*((1+G$13/G$14)^((B46-G$21)/(12/G$14))-1))-SUM(G$43:G45))</f>
        <v>0</v>
      </c>
      <c r="I46" s="4">
        <f>H55*G$22*0.15</f>
        <v>3.2925213840405867</v>
      </c>
      <c r="J46" s="4">
        <f t="shared" si="3"/>
        <v>26.059557752445375</v>
      </c>
      <c r="K46" s="4">
        <f t="shared" si="4"/>
        <v>22.76703636840479</v>
      </c>
    </row>
    <row r="47" spans="1:11" ht="12.75">
      <c r="A47" s="19" t="s">
        <v>55</v>
      </c>
      <c r="B47" s="18">
        <v>4</v>
      </c>
      <c r="C47" s="4">
        <f t="shared" si="0"/>
        <v>0</v>
      </c>
      <c r="D47" s="4">
        <f t="shared" si="1"/>
        <v>0</v>
      </c>
      <c r="E47" s="4">
        <f t="shared" si="2"/>
        <v>26.059557752445375</v>
      </c>
      <c r="F47" s="4">
        <v>0</v>
      </c>
      <c r="G47" s="4">
        <f>IF(B47&gt;G$15*G$17+G$21,0,(SUM(D$44:D46)*((1+G$13/G$14)^((B47-G$21)/(12/G$14))-1))-SUM(G$43:G46))</f>
        <v>0</v>
      </c>
      <c r="J47" s="4">
        <f t="shared" si="3"/>
        <v>26.059557752445375</v>
      </c>
      <c r="K47" s="4">
        <f t="shared" si="4"/>
        <v>26.059557752445375</v>
      </c>
    </row>
    <row r="48" spans="1:11" ht="12.75">
      <c r="A48" s="19" t="s">
        <v>56</v>
      </c>
      <c r="B48" s="18">
        <v>5</v>
      </c>
      <c r="C48" s="4">
        <f t="shared" si="0"/>
        <v>0</v>
      </c>
      <c r="D48" s="4">
        <f t="shared" si="1"/>
        <v>0</v>
      </c>
      <c r="E48" s="4">
        <f t="shared" si="2"/>
        <v>26.059557752445375</v>
      </c>
      <c r="F48" s="4">
        <v>0</v>
      </c>
      <c r="G48" s="4">
        <f>IF(B48&gt;G$15*G$17+G$21,0,(SUM(D$44:D47)*((1+G$13/G$14)^((B48-G$21)/(12/G$14))-1))-SUM(G$43:G47))</f>
        <v>0</v>
      </c>
      <c r="J48" s="4">
        <f t="shared" si="3"/>
        <v>26.059557752445375</v>
      </c>
      <c r="K48" s="4">
        <f t="shared" si="4"/>
        <v>26.059557752445375</v>
      </c>
    </row>
    <row r="49" spans="1:11" ht="12.75">
      <c r="A49" s="19" t="s">
        <v>57</v>
      </c>
      <c r="B49" s="18">
        <v>6</v>
      </c>
      <c r="C49" s="4">
        <f t="shared" si="0"/>
        <v>0</v>
      </c>
      <c r="D49" s="4">
        <f t="shared" si="1"/>
        <v>0</v>
      </c>
      <c r="E49" s="4">
        <f t="shared" si="2"/>
        <v>26.059557752445375</v>
      </c>
      <c r="F49" s="4">
        <v>0</v>
      </c>
      <c r="G49" s="4">
        <f>IF(B49&gt;G$15*G$17+G$21,0,(SUM(D$44:D48)*((1+G$13/G$14)^((B49-G$21)/(12/G$14))-1))-SUM(G$43:G48))</f>
        <v>0</v>
      </c>
      <c r="I49" s="4">
        <f>H55*$G$22*0.3</f>
        <v>6.585042768081173</v>
      </c>
      <c r="J49" s="4">
        <f t="shared" si="3"/>
        <v>26.059557752445375</v>
      </c>
      <c r="K49" s="4">
        <f t="shared" si="4"/>
        <v>19.474514984364202</v>
      </c>
    </row>
    <row r="50" spans="1:11" ht="12.75">
      <c r="A50" s="19" t="s">
        <v>58</v>
      </c>
      <c r="B50" s="18">
        <v>7</v>
      </c>
      <c r="C50" s="4">
        <f t="shared" si="0"/>
        <v>0</v>
      </c>
      <c r="D50" s="4">
        <f t="shared" si="1"/>
        <v>0</v>
      </c>
      <c r="E50" s="4">
        <f t="shared" si="2"/>
        <v>26.059557752445375</v>
      </c>
      <c r="F50" s="4">
        <v>0</v>
      </c>
      <c r="G50" s="4">
        <f>IF(B50&gt;G$15*G$17+G$21,0,(SUM(D$44:D49)*((1+G$13/G$14)^((B50-G$21)/(12/G$14))-1))-SUM(G$43:G49))</f>
        <v>0</v>
      </c>
      <c r="J50" s="4">
        <f t="shared" si="3"/>
        <v>26.059557752445375</v>
      </c>
      <c r="K50" s="4">
        <f t="shared" si="4"/>
        <v>26.059557752445375</v>
      </c>
    </row>
    <row r="51" spans="1:11" ht="12.75">
      <c r="A51" s="19" t="s">
        <v>59</v>
      </c>
      <c r="B51" s="18">
        <v>8</v>
      </c>
      <c r="C51" s="4">
        <f t="shared" si="0"/>
        <v>0</v>
      </c>
      <c r="D51" s="4">
        <f t="shared" si="1"/>
        <v>0</v>
      </c>
      <c r="E51" s="4">
        <f t="shared" si="2"/>
        <v>26.059557752445375</v>
      </c>
      <c r="F51" s="4">
        <v>0</v>
      </c>
      <c r="G51" s="4">
        <f>IF(B51&gt;G$15*G$17+G$21,0,(SUM(D$44:D50)*((1+G$13/G$14)^((B51-G$21)/(12/G$14))-1))-SUM(G$43:G50))</f>
        <v>0</v>
      </c>
      <c r="J51" s="4">
        <f t="shared" si="3"/>
        <v>26.059557752445375</v>
      </c>
      <c r="K51" s="4">
        <f t="shared" si="4"/>
        <v>26.059557752445375</v>
      </c>
    </row>
    <row r="52" spans="1:11" ht="12.75">
      <c r="A52" s="19" t="s">
        <v>60</v>
      </c>
      <c r="B52" s="18">
        <v>9</v>
      </c>
      <c r="C52" s="4">
        <f t="shared" si="0"/>
        <v>0</v>
      </c>
      <c r="D52" s="4">
        <f t="shared" si="1"/>
        <v>0</v>
      </c>
      <c r="E52" s="4">
        <f t="shared" si="2"/>
        <v>26.059557752445375</v>
      </c>
      <c r="F52" s="4">
        <v>0</v>
      </c>
      <c r="G52" s="4">
        <f>IF(B52&gt;G$15*G$17+G$21,0,(SUM(D$44:D51)*((1+G$13/G$14)^((B52-G$21)/(12/G$14))-1))-SUM(G$43:G51))</f>
        <v>0</v>
      </c>
      <c r="I52" s="4">
        <f>H55*$G$22*0.3</f>
        <v>6.585042768081173</v>
      </c>
      <c r="J52" s="4">
        <f t="shared" si="3"/>
        <v>26.059557752445375</v>
      </c>
      <c r="K52" s="4">
        <f>C52+E52-I49+D52</f>
        <v>19.474514984364202</v>
      </c>
    </row>
    <row r="53" spans="1:11" ht="12.75">
      <c r="A53" s="19" t="s">
        <v>61</v>
      </c>
      <c r="B53" s="18">
        <v>10</v>
      </c>
      <c r="C53" s="4">
        <f t="shared" si="0"/>
        <v>0</v>
      </c>
      <c r="D53" s="4">
        <f t="shared" si="1"/>
        <v>0</v>
      </c>
      <c r="E53" s="4">
        <f t="shared" si="2"/>
        <v>26.059557752445375</v>
      </c>
      <c r="F53" s="4">
        <v>0</v>
      </c>
      <c r="G53" s="4">
        <f>IF(B53&gt;G$15*G$17+G$21,0,(SUM(D$44:D52)*((1+G$13/G$14)^((B53-G$21)/(12/G$14))-1))-SUM(G$43:G52))</f>
        <v>0</v>
      </c>
      <c r="J53" s="4">
        <f t="shared" si="3"/>
        <v>26.059557752445375</v>
      </c>
      <c r="K53" s="4">
        <f aca="true" t="shared" si="5" ref="K53:K84">C53+E53-I53+D53</f>
        <v>26.059557752445375</v>
      </c>
    </row>
    <row r="54" spans="1:11" ht="12.75">
      <c r="A54" s="19" t="s">
        <v>62</v>
      </c>
      <c r="B54" s="18">
        <v>11</v>
      </c>
      <c r="C54" s="4">
        <f t="shared" si="0"/>
        <v>0</v>
      </c>
      <c r="D54" s="4">
        <f t="shared" si="1"/>
        <v>0</v>
      </c>
      <c r="E54" s="4">
        <f t="shared" si="2"/>
        <v>26.059557752445375</v>
      </c>
      <c r="F54" s="4">
        <v>0</v>
      </c>
      <c r="G54" s="4">
        <f>IF(B54&gt;G$15*G$17+G$21,0,(SUM(D$44:D53)*((1+G$13/G$14)^((B54-G$21)/(12/G$14))-1))-SUM(G$43:G53))</f>
        <v>0</v>
      </c>
      <c r="J54" s="4">
        <f t="shared" si="3"/>
        <v>26.059557752445375</v>
      </c>
      <c r="K54" s="4">
        <f t="shared" si="5"/>
        <v>26.059557752445375</v>
      </c>
    </row>
    <row r="55" spans="1:11" ht="12.75">
      <c r="A55" s="19" t="s">
        <v>63</v>
      </c>
      <c r="B55" s="18">
        <v>12</v>
      </c>
      <c r="C55" s="4">
        <f t="shared" si="0"/>
        <v>0</v>
      </c>
      <c r="D55" s="4">
        <f t="shared" si="1"/>
        <v>0</v>
      </c>
      <c r="E55" s="4">
        <f t="shared" si="2"/>
        <v>26.059557752445375</v>
      </c>
      <c r="F55" s="4">
        <f>IF(G21&gt;6,$G$20*$G$10/2,$G$20*$G10)</f>
        <v>250</v>
      </c>
      <c r="G55" s="4">
        <f>IF(B55&gt;G$15*G$17+G$21,0,(SUM(D$44:D54)*((1+G$13/G$14)^((B55-G$21)/(12/G$14))-1))-SUM(G$43:G54))</f>
        <v>0</v>
      </c>
      <c r="H55" s="4">
        <f>SUM(E44:E55)-F55-SUM(G44:G55)</f>
        <v>62.71469302934452</v>
      </c>
      <c r="I55" s="4">
        <f>H55*$G$22*0.25</f>
        <v>5.4875356400676445</v>
      </c>
      <c r="J55" s="4">
        <f t="shared" si="3"/>
        <v>26.059557752445375</v>
      </c>
      <c r="K55" s="4">
        <f t="shared" si="5"/>
        <v>20.57202211237773</v>
      </c>
    </row>
    <row r="56" spans="1:11" ht="12.75">
      <c r="A56" s="19" t="s">
        <v>52</v>
      </c>
      <c r="B56" s="18">
        <v>13</v>
      </c>
      <c r="C56" s="4">
        <f aca="true" t="shared" si="6" ref="C56:C87">IF(B56=G$15*G$17+G$21,G$10*G$19,0)</f>
        <v>0</v>
      </c>
      <c r="D56" s="4">
        <f aca="true" t="shared" si="7" ref="D56:D87">IF(B56=$G$15*G$17+G$21,-G$10*G$12*((1+G$13/G$14)^(G$15*G$14)),0)</f>
        <v>0</v>
      </c>
      <c r="E56" s="4">
        <f aca="true" t="shared" si="8" ref="E56:E87">IF(B56&lt;$G$21,0,IF(B56&lt;=G$15*G$17+$G$21-1,+(G$8*12/G$17),0))</f>
        <v>26.059557752445375</v>
      </c>
      <c r="F56" s="4">
        <v>0</v>
      </c>
      <c r="G56" s="4">
        <f>IF(B56&gt;G$15*G$17+G$21,0,(SUM(D$44:D55)*((1+G$13/G$14)^((B56-G$21)/(12/G$14))-1))-SUM(G$43:G55))</f>
        <v>0</v>
      </c>
      <c r="J56" s="4">
        <f t="shared" si="3"/>
        <v>26.059557752445375</v>
      </c>
      <c r="K56" s="4">
        <f t="shared" si="5"/>
        <v>26.059557752445375</v>
      </c>
    </row>
    <row r="57" spans="1:11" ht="12.75">
      <c r="A57" s="19" t="s">
        <v>53</v>
      </c>
      <c r="B57" s="18">
        <v>14</v>
      </c>
      <c r="C57" s="4">
        <f t="shared" si="6"/>
        <v>0</v>
      </c>
      <c r="D57" s="4">
        <f t="shared" si="7"/>
        <v>0</v>
      </c>
      <c r="E57" s="4">
        <f t="shared" si="8"/>
        <v>26.059557752445375</v>
      </c>
      <c r="F57" s="4">
        <v>0</v>
      </c>
      <c r="G57" s="4">
        <f>IF(B57&gt;G$15*G$17+G$21,0,(SUM(D$44:D56)*((1+G$13/G$14)^((B57-G$21)/(12/G$14))-1))-SUM(G$43:G56))</f>
        <v>0</v>
      </c>
      <c r="J57" s="4">
        <f t="shared" si="3"/>
        <v>26.059557752445375</v>
      </c>
      <c r="K57" s="4">
        <f t="shared" si="5"/>
        <v>26.059557752445375</v>
      </c>
    </row>
    <row r="58" spans="1:11" ht="12.75">
      <c r="A58" s="19" t="s">
        <v>54</v>
      </c>
      <c r="B58" s="18">
        <v>15</v>
      </c>
      <c r="C58" s="4">
        <f t="shared" si="6"/>
        <v>0</v>
      </c>
      <c r="D58" s="4">
        <f t="shared" si="7"/>
        <v>0</v>
      </c>
      <c r="E58" s="4">
        <f t="shared" si="8"/>
        <v>26.059557752445375</v>
      </c>
      <c r="F58" s="4">
        <v>0</v>
      </c>
      <c r="G58" s="4">
        <f>IF(B58&gt;G$15*G$17+G$21,0,(SUM(D$44:D57)*((1+G$13/G$14)^((B58-G$21)/(12/G$14))-1))-SUM(G$43:G57))</f>
        <v>0</v>
      </c>
      <c r="I58" s="4">
        <f>H67*G$22*0.15</f>
        <v>6.573771384040587</v>
      </c>
      <c r="J58" s="4">
        <f t="shared" si="3"/>
        <v>26.059557752445375</v>
      </c>
      <c r="K58" s="4">
        <f t="shared" si="5"/>
        <v>19.48578636840479</v>
      </c>
    </row>
    <row r="59" spans="1:11" ht="12.75">
      <c r="A59" s="19" t="s">
        <v>55</v>
      </c>
      <c r="B59" s="18">
        <v>16</v>
      </c>
      <c r="C59" s="4">
        <f t="shared" si="6"/>
        <v>0</v>
      </c>
      <c r="D59" s="4">
        <f t="shared" si="7"/>
        <v>0</v>
      </c>
      <c r="E59" s="4">
        <f t="shared" si="8"/>
        <v>26.059557752445375</v>
      </c>
      <c r="F59" s="4">
        <v>0</v>
      </c>
      <c r="G59" s="4">
        <f>IF(B59&gt;G$15*G$17+G$21,0,(SUM(D$44:D58)*((1+G$13/G$14)^((B59-G$21)/(12/G$14))-1))-SUM(G$43:G58))</f>
        <v>0</v>
      </c>
      <c r="J59" s="4">
        <f t="shared" si="3"/>
        <v>26.059557752445375</v>
      </c>
      <c r="K59" s="4">
        <f t="shared" si="5"/>
        <v>26.059557752445375</v>
      </c>
    </row>
    <row r="60" spans="1:11" ht="12.75">
      <c r="A60" s="19" t="s">
        <v>56</v>
      </c>
      <c r="B60" s="18">
        <v>17</v>
      </c>
      <c r="C60" s="4">
        <f t="shared" si="6"/>
        <v>0</v>
      </c>
      <c r="D60" s="4">
        <f t="shared" si="7"/>
        <v>0</v>
      </c>
      <c r="E60" s="4">
        <f t="shared" si="8"/>
        <v>26.059557752445375</v>
      </c>
      <c r="F60" s="4">
        <v>0</v>
      </c>
      <c r="G60" s="4">
        <f>IF(B60&gt;G$15*G$17+G$21,0,(SUM(D$44:D59)*((1+G$13/G$14)^((B60-G$21)/(12/G$14))-1))-SUM(G$43:G59))</f>
        <v>0</v>
      </c>
      <c r="J60" s="4">
        <f t="shared" si="3"/>
        <v>26.059557752445375</v>
      </c>
      <c r="K60" s="4">
        <f t="shared" si="5"/>
        <v>26.059557752445375</v>
      </c>
    </row>
    <row r="61" spans="1:11" ht="12.75">
      <c r="A61" s="19" t="s">
        <v>57</v>
      </c>
      <c r="B61" s="18">
        <v>18</v>
      </c>
      <c r="C61" s="4">
        <f t="shared" si="6"/>
        <v>0</v>
      </c>
      <c r="D61" s="4">
        <f t="shared" si="7"/>
        <v>0</v>
      </c>
      <c r="E61" s="4">
        <f t="shared" si="8"/>
        <v>26.059557752445375</v>
      </c>
      <c r="F61" s="4">
        <v>0</v>
      </c>
      <c r="G61" s="4">
        <f>IF(B61&gt;G$15*G$17+G$21,0,(SUM(D$44:D60)*((1+G$13/G$14)^((B61-G$21)/(12/G$14))-1))-SUM(G$43:G60))</f>
        <v>0</v>
      </c>
      <c r="I61" s="4">
        <f>H67*$G$22*0.3</f>
        <v>13.147542768081173</v>
      </c>
      <c r="J61" s="4">
        <f t="shared" si="3"/>
        <v>26.059557752445375</v>
      </c>
      <c r="K61" s="4">
        <f t="shared" si="5"/>
        <v>12.912014984364202</v>
      </c>
    </row>
    <row r="62" spans="1:11" ht="12.75">
      <c r="A62" s="19" t="s">
        <v>58</v>
      </c>
      <c r="B62" s="18">
        <v>19</v>
      </c>
      <c r="C62" s="4">
        <f t="shared" si="6"/>
        <v>0</v>
      </c>
      <c r="D62" s="4">
        <f t="shared" si="7"/>
        <v>0</v>
      </c>
      <c r="E62" s="4">
        <f t="shared" si="8"/>
        <v>26.059557752445375</v>
      </c>
      <c r="F62" s="4">
        <v>0</v>
      </c>
      <c r="G62" s="4">
        <f>IF(B62&gt;G$15*G$17+G$21,0,(SUM(D$44:D61)*((1+G$13/G$14)^((B62-G$21)/(12/G$14))-1))-SUM(G$43:G61))</f>
        <v>0</v>
      </c>
      <c r="J62" s="4">
        <f t="shared" si="3"/>
        <v>26.059557752445375</v>
      </c>
      <c r="K62" s="4">
        <f t="shared" si="5"/>
        <v>26.059557752445375</v>
      </c>
    </row>
    <row r="63" spans="1:11" ht="12.75">
      <c r="A63" s="19" t="s">
        <v>59</v>
      </c>
      <c r="B63" s="18">
        <v>20</v>
      </c>
      <c r="C63" s="4">
        <f t="shared" si="6"/>
        <v>0</v>
      </c>
      <c r="D63" s="4">
        <f t="shared" si="7"/>
        <v>0</v>
      </c>
      <c r="E63" s="4">
        <f t="shared" si="8"/>
        <v>26.059557752445375</v>
      </c>
      <c r="F63" s="4">
        <v>0</v>
      </c>
      <c r="G63" s="4">
        <f>IF(B63&gt;G$15*G$17+G$21,0,(SUM(D$44:D62)*((1+G$13/G$14)^((B63-G$21)/(12/G$14))-1))-SUM(G$43:G62))</f>
        <v>0</v>
      </c>
      <c r="J63" s="4">
        <f t="shared" si="3"/>
        <v>26.059557752445375</v>
      </c>
      <c r="K63" s="4">
        <f t="shared" si="5"/>
        <v>26.059557752445375</v>
      </c>
    </row>
    <row r="64" spans="1:11" ht="12.75">
      <c r="A64" s="19" t="s">
        <v>60</v>
      </c>
      <c r="B64" s="18">
        <v>21</v>
      </c>
      <c r="C64" s="4">
        <f t="shared" si="6"/>
        <v>0</v>
      </c>
      <c r="D64" s="4">
        <f t="shared" si="7"/>
        <v>0</v>
      </c>
      <c r="E64" s="4">
        <f t="shared" si="8"/>
        <v>26.059557752445375</v>
      </c>
      <c r="F64" s="4">
        <v>0</v>
      </c>
      <c r="G64" s="4">
        <f>IF(B64&gt;G$15*G$17+G$21,0,(SUM(D$44:D63)*((1+G$13/G$14)^((B64-G$21)/(12/G$14))-1))-SUM(G$43:G63))</f>
        <v>0</v>
      </c>
      <c r="I64" s="4">
        <f>H67*$G$22*0.3</f>
        <v>13.147542768081173</v>
      </c>
      <c r="J64" s="4">
        <f t="shared" si="3"/>
        <v>26.059557752445375</v>
      </c>
      <c r="K64" s="4">
        <f t="shared" si="5"/>
        <v>12.912014984364202</v>
      </c>
    </row>
    <row r="65" spans="1:11" ht="12.75">
      <c r="A65" s="19" t="s">
        <v>61</v>
      </c>
      <c r="B65" s="18">
        <v>22</v>
      </c>
      <c r="C65" s="4">
        <f t="shared" si="6"/>
        <v>0</v>
      </c>
      <c r="D65" s="4">
        <f t="shared" si="7"/>
        <v>0</v>
      </c>
      <c r="E65" s="4">
        <f t="shared" si="8"/>
        <v>26.059557752445375</v>
      </c>
      <c r="F65" s="4">
        <v>0</v>
      </c>
      <c r="G65" s="4">
        <f>IF(B65&gt;G$15*G$17+G$21,0,(SUM(D$44:D64)*((1+G$13/G$14)^((B65-G$21)/(12/G$14))-1))-SUM(G$43:G64))</f>
        <v>0</v>
      </c>
      <c r="J65" s="4">
        <f t="shared" si="3"/>
        <v>26.059557752445375</v>
      </c>
      <c r="K65" s="4">
        <f t="shared" si="5"/>
        <v>26.059557752445375</v>
      </c>
    </row>
    <row r="66" spans="1:11" ht="12.75">
      <c r="A66" s="19" t="s">
        <v>62</v>
      </c>
      <c r="B66" s="18">
        <v>23</v>
      </c>
      <c r="C66" s="4">
        <f t="shared" si="6"/>
        <v>0</v>
      </c>
      <c r="D66" s="4">
        <f t="shared" si="7"/>
        <v>0</v>
      </c>
      <c r="E66" s="4">
        <f t="shared" si="8"/>
        <v>26.059557752445375</v>
      </c>
      <c r="F66" s="4">
        <v>0</v>
      </c>
      <c r="G66" s="4">
        <f>IF(B66&gt;G$15*G$17+G$21,0,(SUM(D$44:D65)*((1+G$13/G$14)^((B66-G$21)/(12/G$14))-1))-SUM(G$43:G65))</f>
        <v>0</v>
      </c>
      <c r="J66" s="4">
        <f t="shared" si="3"/>
        <v>26.059557752445375</v>
      </c>
      <c r="K66" s="4">
        <f t="shared" si="5"/>
        <v>26.059557752445375</v>
      </c>
    </row>
    <row r="67" spans="1:11" ht="12.75">
      <c r="A67" s="19" t="s">
        <v>63</v>
      </c>
      <c r="B67" s="18">
        <v>24</v>
      </c>
      <c r="C67" s="4">
        <f t="shared" si="6"/>
        <v>0</v>
      </c>
      <c r="D67" s="4">
        <f t="shared" si="7"/>
        <v>0</v>
      </c>
      <c r="E67" s="4">
        <f t="shared" si="8"/>
        <v>26.059557752445375</v>
      </c>
      <c r="F67" s="4">
        <f>($G$10-SUM(F$41:F66)-SUM(C$56:C67))*$G$20</f>
        <v>187.5</v>
      </c>
      <c r="G67" s="4">
        <f>IF(B67&gt;G$15*G$17+G$21,0,(SUM(D$44:D66)*((1+G$13/G$14)^((B67-G$21)/(12/G$14))-1))-SUM(G$43:G66))</f>
        <v>0</v>
      </c>
      <c r="H67" s="4">
        <f>SUM(E56:E67)-F67-SUM(G56:G67)</f>
        <v>125.21469302934452</v>
      </c>
      <c r="I67" s="4">
        <f>H67*$G$22*0.25</f>
        <v>10.956285640067644</v>
      </c>
      <c r="J67" s="4">
        <f t="shared" si="3"/>
        <v>26.059557752445375</v>
      </c>
      <c r="K67" s="4">
        <f t="shared" si="5"/>
        <v>15.10327211237773</v>
      </c>
    </row>
    <row r="68" spans="1:11" ht="12.75">
      <c r="A68" s="19" t="s">
        <v>52</v>
      </c>
      <c r="B68" s="18">
        <v>25</v>
      </c>
      <c r="C68" s="4">
        <f t="shared" si="6"/>
        <v>0</v>
      </c>
      <c r="D68" s="4">
        <f t="shared" si="7"/>
        <v>0</v>
      </c>
      <c r="E68" s="4">
        <f t="shared" si="8"/>
        <v>26.059557752445375</v>
      </c>
      <c r="F68" s="4">
        <v>0</v>
      </c>
      <c r="G68" s="4">
        <f>IF(B68&gt;G$15*G$17+G$21,0,(SUM(D$44:D67)*((1+G$13/G$14)^((B68-G$21)/(12/G$14))-1))-SUM(G$43:G67))</f>
        <v>0</v>
      </c>
      <c r="J68" s="4">
        <f t="shared" si="3"/>
        <v>26.059557752445375</v>
      </c>
      <c r="K68" s="4">
        <f t="shared" si="5"/>
        <v>26.059557752445375</v>
      </c>
    </row>
    <row r="69" spans="1:11" ht="12.75">
      <c r="A69" s="19" t="s">
        <v>53</v>
      </c>
      <c r="B69" s="18">
        <v>26</v>
      </c>
      <c r="C69" s="4">
        <f t="shared" si="6"/>
        <v>0</v>
      </c>
      <c r="D69" s="4">
        <f t="shared" si="7"/>
        <v>0</v>
      </c>
      <c r="E69" s="4">
        <f t="shared" si="8"/>
        <v>26.059557752445375</v>
      </c>
      <c r="F69" s="4">
        <v>0</v>
      </c>
      <c r="G69" s="4">
        <f>IF(B69&gt;G$15*G$17+G$21,0,(SUM(D$44:D68)*((1+G$13/G$14)^((B69-G$21)/(12/G$14))-1))-SUM(G$43:G68))</f>
        <v>0</v>
      </c>
      <c r="J69" s="4">
        <f t="shared" si="3"/>
        <v>26.059557752445375</v>
      </c>
      <c r="K69" s="4">
        <f t="shared" si="5"/>
        <v>26.059557752445375</v>
      </c>
    </row>
    <row r="70" spans="1:11" ht="12.75">
      <c r="A70" s="19" t="s">
        <v>54</v>
      </c>
      <c r="B70" s="18">
        <v>27</v>
      </c>
      <c r="C70" s="4">
        <f t="shared" si="6"/>
        <v>0</v>
      </c>
      <c r="D70" s="4">
        <f t="shared" si="7"/>
        <v>0</v>
      </c>
      <c r="E70" s="4">
        <f t="shared" si="8"/>
        <v>26.059557752445375</v>
      </c>
      <c r="F70" s="4">
        <v>0</v>
      </c>
      <c r="G70" s="4">
        <f>IF(B70&gt;G$15*G$17+G$21,0,(SUM(D$44:D69)*((1+G$13/G$14)^((B70-G$21)/(12/G$14))-1))-SUM(G$43:G69))</f>
        <v>0</v>
      </c>
      <c r="I70" s="4">
        <f>H79*G$22*0.15</f>
        <v>9.034708884040587</v>
      </c>
      <c r="J70" s="4">
        <f t="shared" si="3"/>
        <v>26.059557752445375</v>
      </c>
      <c r="K70" s="4">
        <f t="shared" si="5"/>
        <v>17.02484886840479</v>
      </c>
    </row>
    <row r="71" spans="1:11" ht="12.75">
      <c r="A71" s="19" t="s">
        <v>55</v>
      </c>
      <c r="B71" s="18">
        <v>28</v>
      </c>
      <c r="C71" s="4">
        <f t="shared" si="6"/>
        <v>0</v>
      </c>
      <c r="D71" s="4">
        <f t="shared" si="7"/>
        <v>0</v>
      </c>
      <c r="E71" s="4">
        <f t="shared" si="8"/>
        <v>26.059557752445375</v>
      </c>
      <c r="F71" s="4">
        <v>0</v>
      </c>
      <c r="G71" s="4">
        <f>IF(B71&gt;G$15*G$17+G$21,0,(SUM(D$44:D70)*((1+G$13/G$14)^((B71-G$21)/(12/G$14))-1))-SUM(G$43:G70))</f>
        <v>0</v>
      </c>
      <c r="J71" s="4">
        <f t="shared" si="3"/>
        <v>26.059557752445375</v>
      </c>
      <c r="K71" s="4">
        <f t="shared" si="5"/>
        <v>26.059557752445375</v>
      </c>
    </row>
    <row r="72" spans="1:11" ht="12.75">
      <c r="A72" s="19" t="s">
        <v>56</v>
      </c>
      <c r="B72" s="18">
        <v>29</v>
      </c>
      <c r="C72" s="4">
        <f t="shared" si="6"/>
        <v>0</v>
      </c>
      <c r="D72" s="4">
        <f t="shared" si="7"/>
        <v>0</v>
      </c>
      <c r="E72" s="4">
        <f t="shared" si="8"/>
        <v>26.059557752445375</v>
      </c>
      <c r="F72" s="4">
        <v>0</v>
      </c>
      <c r="G72" s="4">
        <f>IF(B72&gt;G$15*G$17+G$21,0,(SUM(D$44:D71)*((1+G$13/G$14)^((B72-G$21)/(12/G$14))-1))-SUM(G$43:G71))</f>
        <v>0</v>
      </c>
      <c r="J72" s="4">
        <f t="shared" si="3"/>
        <v>26.059557752445375</v>
      </c>
      <c r="K72" s="4">
        <f t="shared" si="5"/>
        <v>26.059557752445375</v>
      </c>
    </row>
    <row r="73" spans="1:11" ht="12.75">
      <c r="A73" s="19" t="s">
        <v>57</v>
      </c>
      <c r="B73" s="18">
        <v>30</v>
      </c>
      <c r="C73" s="4">
        <f t="shared" si="6"/>
        <v>0</v>
      </c>
      <c r="D73" s="4">
        <f t="shared" si="7"/>
        <v>0</v>
      </c>
      <c r="E73" s="4">
        <f t="shared" si="8"/>
        <v>26.059557752445375</v>
      </c>
      <c r="F73" s="4">
        <v>0</v>
      </c>
      <c r="G73" s="4">
        <f>IF(B73&gt;G$15*G$17+G$21,0,(SUM(D$44:D72)*((1+G$13/G$14)^((B73-G$21)/(12/G$14))-1))-SUM(G$43:G72))</f>
        <v>0</v>
      </c>
      <c r="I73" s="4">
        <f>H79*$G$22*0.3</f>
        <v>18.069417768081173</v>
      </c>
      <c r="J73" s="4">
        <f t="shared" si="3"/>
        <v>26.059557752445375</v>
      </c>
      <c r="K73" s="4">
        <f t="shared" si="5"/>
        <v>7.990139984364202</v>
      </c>
    </row>
    <row r="74" spans="1:11" ht="12.75">
      <c r="A74" s="19" t="s">
        <v>58</v>
      </c>
      <c r="B74" s="18">
        <v>31</v>
      </c>
      <c r="C74" s="4">
        <f t="shared" si="6"/>
        <v>0</v>
      </c>
      <c r="D74" s="4">
        <f t="shared" si="7"/>
        <v>0</v>
      </c>
      <c r="E74" s="4">
        <f t="shared" si="8"/>
        <v>26.059557752445375</v>
      </c>
      <c r="F74" s="4">
        <v>0</v>
      </c>
      <c r="G74" s="4">
        <f>IF(B74&gt;G$15*G$17+G$21,0,(SUM(D$44:D73)*((1+G$13/G$14)^((B74-G$21)/(12/G$14))-1))-SUM(G$43:G73))</f>
        <v>0</v>
      </c>
      <c r="J74" s="4">
        <f t="shared" si="3"/>
        <v>26.059557752445375</v>
      </c>
      <c r="K74" s="4">
        <f t="shared" si="5"/>
        <v>26.059557752445375</v>
      </c>
    </row>
    <row r="75" spans="1:11" ht="12.75">
      <c r="A75" s="19" t="s">
        <v>59</v>
      </c>
      <c r="B75" s="18">
        <v>32</v>
      </c>
      <c r="C75" s="4">
        <f t="shared" si="6"/>
        <v>0</v>
      </c>
      <c r="D75" s="4">
        <f t="shared" si="7"/>
        <v>0</v>
      </c>
      <c r="E75" s="4">
        <f t="shared" si="8"/>
        <v>26.059557752445375</v>
      </c>
      <c r="F75" s="4">
        <v>0</v>
      </c>
      <c r="G75" s="4">
        <f>IF(B75&gt;G$15*G$17+G$21,0,(SUM(D$44:D74)*((1+G$13/G$14)^((B75-G$21)/(12/G$14))-1))-SUM(G$43:G74))</f>
        <v>0</v>
      </c>
      <c r="J75" s="4">
        <f t="shared" si="3"/>
        <v>26.059557752445375</v>
      </c>
      <c r="K75" s="4">
        <f t="shared" si="5"/>
        <v>26.059557752445375</v>
      </c>
    </row>
    <row r="76" spans="1:11" ht="12.75">
      <c r="A76" s="19" t="s">
        <v>60</v>
      </c>
      <c r="B76" s="18">
        <v>33</v>
      </c>
      <c r="C76" s="4">
        <f t="shared" si="6"/>
        <v>0</v>
      </c>
      <c r="D76" s="4">
        <f t="shared" si="7"/>
        <v>0</v>
      </c>
      <c r="E76" s="4">
        <f t="shared" si="8"/>
        <v>26.059557752445375</v>
      </c>
      <c r="F76" s="4">
        <v>0</v>
      </c>
      <c r="G76" s="4">
        <f>IF(B76&gt;G$15*G$17+G$21,0,(SUM(D$44:D75)*((1+G$13/G$14)^((B76-G$21)/(12/G$14))-1))-SUM(G$43:G75))</f>
        <v>0</v>
      </c>
      <c r="I76" s="4">
        <f>H79*$G$22*0.3</f>
        <v>18.069417768081173</v>
      </c>
      <c r="J76" s="4">
        <f aca="true" t="shared" si="9" ref="J76:J107">C76+D76+E76</f>
        <v>26.059557752445375</v>
      </c>
      <c r="K76" s="4">
        <f t="shared" si="5"/>
        <v>7.990139984364202</v>
      </c>
    </row>
    <row r="77" spans="1:11" ht="12.75">
      <c r="A77" s="19" t="s">
        <v>61</v>
      </c>
      <c r="B77" s="18">
        <v>34</v>
      </c>
      <c r="C77" s="4">
        <f t="shared" si="6"/>
        <v>0</v>
      </c>
      <c r="D77" s="4">
        <f t="shared" si="7"/>
        <v>0</v>
      </c>
      <c r="E77" s="4">
        <f t="shared" si="8"/>
        <v>26.059557752445375</v>
      </c>
      <c r="F77" s="4">
        <v>0</v>
      </c>
      <c r="G77" s="4">
        <f>IF(B77&gt;G$15*G$17+G$21,0,(SUM(D$44:D76)*((1+G$13/G$14)^((B77-G$21)/(12/G$14))-1))-SUM(G$43:G76))</f>
        <v>0</v>
      </c>
      <c r="J77" s="4">
        <f t="shared" si="9"/>
        <v>26.059557752445375</v>
      </c>
      <c r="K77" s="4">
        <f t="shared" si="5"/>
        <v>26.059557752445375</v>
      </c>
    </row>
    <row r="78" spans="1:11" ht="12.75">
      <c r="A78" s="19" t="s">
        <v>62</v>
      </c>
      <c r="B78" s="18">
        <v>35</v>
      </c>
      <c r="C78" s="4">
        <f t="shared" si="6"/>
        <v>0</v>
      </c>
      <c r="D78" s="4">
        <f t="shared" si="7"/>
        <v>0</v>
      </c>
      <c r="E78" s="4">
        <f t="shared" si="8"/>
        <v>26.059557752445375</v>
      </c>
      <c r="F78" s="4">
        <v>0</v>
      </c>
      <c r="G78" s="4">
        <f>IF(B78&gt;G$15*G$17+G$21,0,(SUM(D$44:D77)*((1+G$13/G$14)^((B78-G$21)/(12/G$14))-1))-SUM(G$43:G77))</f>
        <v>0</v>
      </c>
      <c r="J78" s="4">
        <f t="shared" si="9"/>
        <v>26.059557752445375</v>
      </c>
      <c r="K78" s="4">
        <f t="shared" si="5"/>
        <v>26.059557752445375</v>
      </c>
    </row>
    <row r="79" spans="1:11" ht="12.75">
      <c r="A79" s="19" t="s">
        <v>63</v>
      </c>
      <c r="B79" s="18">
        <v>36</v>
      </c>
      <c r="C79" s="4">
        <f t="shared" si="6"/>
        <v>0</v>
      </c>
      <c r="D79" s="4">
        <f t="shared" si="7"/>
        <v>0</v>
      </c>
      <c r="E79" s="4">
        <f t="shared" si="8"/>
        <v>26.059557752445375</v>
      </c>
      <c r="F79" s="4">
        <f>($G$10-SUM(F$41:F78)-SUM(C$56:C79))*$G$20</f>
        <v>140.625</v>
      </c>
      <c r="G79" s="4">
        <f>IF(B79&gt;G$15*G$17+G$21,0,(SUM(D$44:D78)*((1+G$13/G$14)^((B79-G$21)/(12/G$14))-1))-SUM(G$43:G78))</f>
        <v>0</v>
      </c>
      <c r="H79" s="4">
        <f>SUM(E68:E79)-F79-SUM(G68:G79)</f>
        <v>172.08969302934452</v>
      </c>
      <c r="I79" s="4">
        <f>H79*$G$22*0.25</f>
        <v>15.057848140067644</v>
      </c>
      <c r="J79" s="4">
        <f t="shared" si="9"/>
        <v>26.059557752445375</v>
      </c>
      <c r="K79" s="4">
        <f t="shared" si="5"/>
        <v>11.00170961237773</v>
      </c>
    </row>
    <row r="80" spans="1:11" ht="12.75">
      <c r="A80" s="19" t="s">
        <v>52</v>
      </c>
      <c r="B80" s="18">
        <v>37</v>
      </c>
      <c r="C80" s="4">
        <f t="shared" si="6"/>
        <v>0</v>
      </c>
      <c r="D80" s="4">
        <f t="shared" si="7"/>
        <v>0</v>
      </c>
      <c r="E80" s="4">
        <f t="shared" si="8"/>
        <v>26.059557752445375</v>
      </c>
      <c r="F80" s="4">
        <v>0</v>
      </c>
      <c r="G80" s="4">
        <f>IF(B80&gt;G$15*G$17+G$21,0,(SUM(D$44:D79)*((1+G$13/G$14)^((B80-G$21)/(12/G$14))-1))-SUM(G$43:G79))</f>
        <v>0</v>
      </c>
      <c r="J80" s="4">
        <f t="shared" si="9"/>
        <v>26.059557752445375</v>
      </c>
      <c r="K80" s="4">
        <f t="shared" si="5"/>
        <v>26.059557752445375</v>
      </c>
    </row>
    <row r="81" spans="1:11" ht="12.75">
      <c r="A81" s="19" t="s">
        <v>53</v>
      </c>
      <c r="B81" s="18">
        <v>38</v>
      </c>
      <c r="C81" s="4">
        <f t="shared" si="6"/>
        <v>0</v>
      </c>
      <c r="D81" s="4">
        <f t="shared" si="7"/>
        <v>0</v>
      </c>
      <c r="E81" s="4">
        <f t="shared" si="8"/>
        <v>26.059557752445375</v>
      </c>
      <c r="F81" s="4">
        <v>0</v>
      </c>
      <c r="G81" s="4">
        <f>IF(B81&gt;G$15*G$17+G$21,0,(SUM(D$44:D80)*((1+G$13/G$14)^((B81-G$21)/(12/G$14))-1))-SUM(G$43:G80))</f>
        <v>0</v>
      </c>
      <c r="J81" s="4">
        <f t="shared" si="9"/>
        <v>26.059557752445375</v>
      </c>
      <c r="K81" s="4">
        <f t="shared" si="5"/>
        <v>26.059557752445375</v>
      </c>
    </row>
    <row r="82" spans="1:11" ht="12.75">
      <c r="A82" s="19" t="s">
        <v>54</v>
      </c>
      <c r="B82" s="18">
        <v>39</v>
      </c>
      <c r="C82" s="4">
        <f t="shared" si="6"/>
        <v>0</v>
      </c>
      <c r="D82" s="4">
        <f t="shared" si="7"/>
        <v>0</v>
      </c>
      <c r="E82" s="4">
        <f t="shared" si="8"/>
        <v>26.059557752445375</v>
      </c>
      <c r="F82" s="4">
        <v>0</v>
      </c>
      <c r="G82" s="4">
        <f>IF(B82&gt;G$15*G$17+G$21,0,(SUM(D$44:D81)*((1+G$13/G$14)^((B82-G$21)/(12/G$14))-1))-SUM(G$43:G81))</f>
        <v>0</v>
      </c>
      <c r="I82" s="4">
        <f>H91*G$22*0.15</f>
        <v>10.880412009040587</v>
      </c>
      <c r="J82" s="4">
        <f t="shared" si="9"/>
        <v>26.059557752445375</v>
      </c>
      <c r="K82" s="4">
        <f t="shared" si="5"/>
        <v>15.179145743404789</v>
      </c>
    </row>
    <row r="83" spans="1:11" ht="12.75">
      <c r="A83" s="19" t="s">
        <v>55</v>
      </c>
      <c r="B83" s="18">
        <v>40</v>
      </c>
      <c r="C83" s="4">
        <f t="shared" si="6"/>
        <v>0</v>
      </c>
      <c r="D83" s="4">
        <f t="shared" si="7"/>
        <v>0</v>
      </c>
      <c r="E83" s="4">
        <f t="shared" si="8"/>
        <v>26.059557752445375</v>
      </c>
      <c r="F83" s="4">
        <v>0</v>
      </c>
      <c r="G83" s="4">
        <f>IF(B83&gt;G$15*G$17+G$21,0,(SUM(D$44:D82)*((1+G$13/G$14)^((B83-G$21)/(12/G$14))-1))-SUM(G$43:G82))</f>
        <v>0</v>
      </c>
      <c r="J83" s="4">
        <f t="shared" si="9"/>
        <v>26.059557752445375</v>
      </c>
      <c r="K83" s="4">
        <f t="shared" si="5"/>
        <v>26.059557752445375</v>
      </c>
    </row>
    <row r="84" spans="1:11" ht="12.75">
      <c r="A84" s="19" t="s">
        <v>56</v>
      </c>
      <c r="B84" s="18">
        <v>41</v>
      </c>
      <c r="C84" s="4">
        <f t="shared" si="6"/>
        <v>0</v>
      </c>
      <c r="D84" s="4">
        <f t="shared" si="7"/>
        <v>0</v>
      </c>
      <c r="E84" s="4">
        <f t="shared" si="8"/>
        <v>26.059557752445375</v>
      </c>
      <c r="F84" s="4">
        <v>0</v>
      </c>
      <c r="G84" s="4">
        <f>IF(B84&gt;G$15*G$17+G$21,0,(SUM(D$44:D83)*((1+G$13/G$14)^((B84-G$21)/(12/G$14))-1))-SUM(G$43:G83))</f>
        <v>0</v>
      </c>
      <c r="J84" s="4">
        <f t="shared" si="9"/>
        <v>26.059557752445375</v>
      </c>
      <c r="K84" s="4">
        <f t="shared" si="5"/>
        <v>26.059557752445375</v>
      </c>
    </row>
    <row r="85" spans="1:11" ht="12.75">
      <c r="A85" s="19" t="s">
        <v>57</v>
      </c>
      <c r="B85" s="18">
        <v>42</v>
      </c>
      <c r="C85" s="4">
        <f t="shared" si="6"/>
        <v>0</v>
      </c>
      <c r="D85" s="4">
        <f t="shared" si="7"/>
        <v>0</v>
      </c>
      <c r="E85" s="4">
        <f t="shared" si="8"/>
        <v>26.059557752445375</v>
      </c>
      <c r="F85" s="4">
        <v>0</v>
      </c>
      <c r="G85" s="4">
        <f>IF(B85&gt;G$15*G$17+G$21,0,(SUM(D$44:D84)*((1+G$13/G$14)^((B85-G$21)/(12/G$14))-1))-SUM(G$43:G84))</f>
        <v>0</v>
      </c>
      <c r="I85" s="4">
        <f>H91*$G$22*0.3</f>
        <v>21.760824018081173</v>
      </c>
      <c r="J85" s="4">
        <f t="shared" si="9"/>
        <v>26.059557752445375</v>
      </c>
      <c r="K85" s="4">
        <f aca="true" t="shared" si="10" ref="K85:K116">C85+E85-I85+D85</f>
        <v>4.298733734364202</v>
      </c>
    </row>
    <row r="86" spans="1:11" ht="12.75">
      <c r="A86" s="19" t="s">
        <v>58</v>
      </c>
      <c r="B86" s="18">
        <v>43</v>
      </c>
      <c r="C86" s="4">
        <f t="shared" si="6"/>
        <v>0</v>
      </c>
      <c r="D86" s="4">
        <f t="shared" si="7"/>
        <v>0</v>
      </c>
      <c r="E86" s="4">
        <f t="shared" si="8"/>
        <v>26.059557752445375</v>
      </c>
      <c r="F86" s="4">
        <v>0</v>
      </c>
      <c r="G86" s="4">
        <f>IF(B86&gt;G$15*G$17+G$21,0,(SUM(D$44:D85)*((1+G$13/G$14)^((B86-G$21)/(12/G$14))-1))-SUM(G$43:G85))</f>
        <v>0</v>
      </c>
      <c r="J86" s="4">
        <f t="shared" si="9"/>
        <v>26.059557752445375</v>
      </c>
      <c r="K86" s="4">
        <f t="shared" si="10"/>
        <v>26.059557752445375</v>
      </c>
    </row>
    <row r="87" spans="1:11" ht="12.75">
      <c r="A87" s="19" t="s">
        <v>59</v>
      </c>
      <c r="B87" s="18">
        <v>44</v>
      </c>
      <c r="C87" s="4">
        <f t="shared" si="6"/>
        <v>0</v>
      </c>
      <c r="D87" s="4">
        <f t="shared" si="7"/>
        <v>0</v>
      </c>
      <c r="E87" s="4">
        <f t="shared" si="8"/>
        <v>26.059557752445375</v>
      </c>
      <c r="F87" s="4">
        <v>0</v>
      </c>
      <c r="G87" s="4">
        <f>IF(B87&gt;G$15*G$17+G$21,0,(SUM(D$44:D86)*((1+G$13/G$14)^((B87-G$21)/(12/G$14))-1))-SUM(G$43:G86))</f>
        <v>0</v>
      </c>
      <c r="J87" s="4">
        <f t="shared" si="9"/>
        <v>26.059557752445375</v>
      </c>
      <c r="K87" s="4">
        <f t="shared" si="10"/>
        <v>26.059557752445375</v>
      </c>
    </row>
    <row r="88" spans="1:11" ht="12.75">
      <c r="A88" s="19" t="s">
        <v>60</v>
      </c>
      <c r="B88" s="18">
        <v>45</v>
      </c>
      <c r="C88" s="4">
        <f aca="true" t="shared" si="11" ref="C88:C119">IF(B88=G$15*G$17+G$21,G$10*G$19,0)</f>
        <v>0</v>
      </c>
      <c r="D88" s="4">
        <f aca="true" t="shared" si="12" ref="D88:D119">IF(B88=$G$15*G$17+G$21,-G$10*G$12*((1+G$13/G$14)^(G$15*G$14)),0)</f>
        <v>0</v>
      </c>
      <c r="E88" s="4">
        <f aca="true" t="shared" si="13" ref="E88:E119">IF(B88&lt;$G$21,0,IF(B88&lt;=G$15*G$17+$G$21-1,+(G$8*12/G$17),0))</f>
        <v>26.059557752445375</v>
      </c>
      <c r="F88" s="4">
        <v>0</v>
      </c>
      <c r="G88" s="4">
        <f>IF(B88&gt;G$15*G$17+G$21,0,(SUM(D$44:D87)*((1+G$13/G$14)^((B88-G$21)/(12/G$14))-1))-SUM(G$43:G87))</f>
        <v>0</v>
      </c>
      <c r="I88" s="4">
        <f>H91*$G$22*0.3</f>
        <v>21.760824018081173</v>
      </c>
      <c r="J88" s="4">
        <f t="shared" si="9"/>
        <v>26.059557752445375</v>
      </c>
      <c r="K88" s="4">
        <f t="shared" si="10"/>
        <v>4.298733734364202</v>
      </c>
    </row>
    <row r="89" spans="1:11" ht="12.75">
      <c r="A89" s="19" t="s">
        <v>61</v>
      </c>
      <c r="B89" s="18">
        <v>46</v>
      </c>
      <c r="C89" s="4">
        <f t="shared" si="11"/>
        <v>0</v>
      </c>
      <c r="D89" s="4">
        <f t="shared" si="12"/>
        <v>0</v>
      </c>
      <c r="E89" s="4">
        <f t="shared" si="13"/>
        <v>26.059557752445375</v>
      </c>
      <c r="F89" s="4">
        <v>0</v>
      </c>
      <c r="G89" s="4">
        <f>IF(B89&gt;G$15*G$17+G$21,0,(SUM(D$44:D88)*((1+G$13/G$14)^((B89-G$21)/(12/G$14))-1))-SUM(G$43:G88))</f>
        <v>0</v>
      </c>
      <c r="J89" s="4">
        <f t="shared" si="9"/>
        <v>26.059557752445375</v>
      </c>
      <c r="K89" s="4">
        <f t="shared" si="10"/>
        <v>26.059557752445375</v>
      </c>
    </row>
    <row r="90" spans="1:11" ht="12.75">
      <c r="A90" s="19" t="s">
        <v>62</v>
      </c>
      <c r="B90" s="18">
        <v>47</v>
      </c>
      <c r="C90" s="4">
        <f t="shared" si="11"/>
        <v>0</v>
      </c>
      <c r="D90" s="4">
        <f t="shared" si="12"/>
        <v>0</v>
      </c>
      <c r="E90" s="4">
        <f t="shared" si="13"/>
        <v>26.059557752445375</v>
      </c>
      <c r="F90" s="4">
        <v>0</v>
      </c>
      <c r="G90" s="4">
        <f>IF(B90&gt;G$15*G$17+G$21,0,(SUM(D$44:D89)*((1+G$13/G$14)^((B90-G$21)/(12/G$14))-1))-SUM(G$43:G89))</f>
        <v>0</v>
      </c>
      <c r="J90" s="4">
        <f t="shared" si="9"/>
        <v>26.059557752445375</v>
      </c>
      <c r="K90" s="4">
        <f t="shared" si="10"/>
        <v>26.059557752445375</v>
      </c>
    </row>
    <row r="91" spans="1:11" ht="12.75">
      <c r="A91" s="19" t="s">
        <v>63</v>
      </c>
      <c r="B91" s="18">
        <v>48</v>
      </c>
      <c r="C91" s="4">
        <f t="shared" si="11"/>
        <v>0</v>
      </c>
      <c r="D91" s="4">
        <f t="shared" si="12"/>
        <v>0</v>
      </c>
      <c r="E91" s="4">
        <f t="shared" si="13"/>
        <v>26.059557752445375</v>
      </c>
      <c r="F91" s="4">
        <f>($G$10-SUM(F$41:F90)-SUM(C$56:C91))*$G$20</f>
        <v>105.46875</v>
      </c>
      <c r="G91" s="4">
        <f>IF(B91&gt;G$15*G$17+G$21,0,(SUM(D$44:D90)*((1+G$13/G$14)^((B91-G$21)/(12/G$14))-1))-SUM(G$43:G90))</f>
        <v>0</v>
      </c>
      <c r="H91" s="4">
        <f>SUM(E80:E91)-F91-SUM(G80:G91)</f>
        <v>207.24594302934452</v>
      </c>
      <c r="I91" s="4">
        <f>H91*$G$22*0.25</f>
        <v>18.134020015067644</v>
      </c>
      <c r="J91" s="4">
        <f t="shared" si="9"/>
        <v>26.059557752445375</v>
      </c>
      <c r="K91" s="4">
        <f t="shared" si="10"/>
        <v>7.925537737377731</v>
      </c>
    </row>
    <row r="92" spans="1:11" ht="12.75">
      <c r="A92" s="19" t="s">
        <v>52</v>
      </c>
      <c r="B92" s="18">
        <v>49</v>
      </c>
      <c r="C92" s="4">
        <f t="shared" si="11"/>
        <v>0</v>
      </c>
      <c r="D92" s="4">
        <f t="shared" si="12"/>
        <v>0</v>
      </c>
      <c r="E92" s="4">
        <f t="shared" si="13"/>
        <v>26.059557752445375</v>
      </c>
      <c r="F92" s="4">
        <v>0</v>
      </c>
      <c r="G92" s="4">
        <f>IF(B92&gt;G$15*G$17+G$21,0,(SUM(D$44:D91)*((1+G$13/G$14)^((B92-G$21)/(12/G$14))-1))-SUM(G$43:G91))</f>
        <v>0</v>
      </c>
      <c r="J92" s="4">
        <f t="shared" si="9"/>
        <v>26.059557752445375</v>
      </c>
      <c r="K92" s="4">
        <f t="shared" si="10"/>
        <v>26.059557752445375</v>
      </c>
    </row>
    <row r="93" spans="1:11" ht="12.75">
      <c r="A93" s="19" t="s">
        <v>53</v>
      </c>
      <c r="B93" s="18">
        <v>50</v>
      </c>
      <c r="C93" s="4">
        <f t="shared" si="11"/>
        <v>0</v>
      </c>
      <c r="D93" s="4">
        <f t="shared" si="12"/>
        <v>0</v>
      </c>
      <c r="E93" s="4">
        <f t="shared" si="13"/>
        <v>26.059557752445375</v>
      </c>
      <c r="F93" s="4">
        <v>0</v>
      </c>
      <c r="G93" s="4">
        <f>IF(B93&gt;G$15*G$17+G$21,0,(SUM(D$44:D92)*((1+G$13/G$14)^((B93-G$21)/(12/G$14))-1))-SUM(G$43:G92))</f>
        <v>0</v>
      </c>
      <c r="J93" s="4">
        <f t="shared" si="9"/>
        <v>26.059557752445375</v>
      </c>
      <c r="K93" s="4">
        <f t="shared" si="10"/>
        <v>26.059557752445375</v>
      </c>
    </row>
    <row r="94" spans="1:11" ht="12.75">
      <c r="A94" s="19" t="s">
        <v>54</v>
      </c>
      <c r="B94" s="18">
        <v>51</v>
      </c>
      <c r="C94" s="4">
        <f t="shared" si="11"/>
        <v>0</v>
      </c>
      <c r="D94" s="4">
        <f t="shared" si="12"/>
        <v>0</v>
      </c>
      <c r="E94" s="4">
        <f t="shared" si="13"/>
        <v>26.059557752445375</v>
      </c>
      <c r="F94" s="4">
        <v>0</v>
      </c>
      <c r="G94" s="4">
        <f>IF(B94&gt;G$15*G$17+G$21,0,(SUM(D$44:D93)*((1+G$13/G$14)^((B94-G$21)/(12/G$14))-1))-SUM(G$43:G93))</f>
        <v>0</v>
      </c>
      <c r="I94" s="4">
        <f>H103*G$22*0.15</f>
        <v>12.264689352790587</v>
      </c>
      <c r="J94" s="4">
        <f t="shared" si="9"/>
        <v>26.059557752445375</v>
      </c>
      <c r="K94" s="4">
        <f t="shared" si="10"/>
        <v>13.794868399654789</v>
      </c>
    </row>
    <row r="95" spans="1:11" ht="12.75">
      <c r="A95" s="19" t="s">
        <v>55</v>
      </c>
      <c r="B95" s="18">
        <v>52</v>
      </c>
      <c r="C95" s="4">
        <f t="shared" si="11"/>
        <v>0</v>
      </c>
      <c r="D95" s="4">
        <f t="shared" si="12"/>
        <v>0</v>
      </c>
      <c r="E95" s="4">
        <f t="shared" si="13"/>
        <v>26.059557752445375</v>
      </c>
      <c r="F95" s="4">
        <v>0</v>
      </c>
      <c r="G95" s="4">
        <f>IF(B95&gt;G$15*G$17+G$21,0,(SUM(D$44:D94)*((1+G$13/G$14)^((B95-G$21)/(12/G$14))-1))-SUM(G$43:G94))</f>
        <v>0</v>
      </c>
      <c r="J95" s="4">
        <f t="shared" si="9"/>
        <v>26.059557752445375</v>
      </c>
      <c r="K95" s="4">
        <f t="shared" si="10"/>
        <v>26.059557752445375</v>
      </c>
    </row>
    <row r="96" spans="1:11" ht="12.75">
      <c r="A96" s="19" t="s">
        <v>56</v>
      </c>
      <c r="B96" s="18">
        <v>53</v>
      </c>
      <c r="C96" s="4">
        <f t="shared" si="11"/>
        <v>0</v>
      </c>
      <c r="D96" s="4">
        <f t="shared" si="12"/>
        <v>0</v>
      </c>
      <c r="E96" s="4">
        <f t="shared" si="13"/>
        <v>26.059557752445375</v>
      </c>
      <c r="F96" s="4">
        <v>0</v>
      </c>
      <c r="G96" s="4">
        <f>IF(B96&gt;G$15*G$17+G$21,0,(SUM(D$44:D95)*((1+G$13/G$14)^((B96-G$21)/(12/G$14))-1))-SUM(G$43:G95))</f>
        <v>0</v>
      </c>
      <c r="J96" s="4">
        <f t="shared" si="9"/>
        <v>26.059557752445375</v>
      </c>
      <c r="K96" s="4">
        <f t="shared" si="10"/>
        <v>26.059557752445375</v>
      </c>
    </row>
    <row r="97" spans="1:11" ht="12.75">
      <c r="A97" s="19" t="s">
        <v>57</v>
      </c>
      <c r="B97" s="18">
        <v>54</v>
      </c>
      <c r="C97" s="4">
        <f t="shared" si="11"/>
        <v>0</v>
      </c>
      <c r="D97" s="4">
        <f t="shared" si="12"/>
        <v>0</v>
      </c>
      <c r="E97" s="4">
        <f t="shared" si="13"/>
        <v>26.059557752445375</v>
      </c>
      <c r="F97" s="4">
        <v>0</v>
      </c>
      <c r="G97" s="4">
        <f>IF(B97&gt;G$15*G$17+G$21,0,(SUM(D$44:D96)*((1+G$13/G$14)^((B97-G$21)/(12/G$14))-1))-SUM(G$43:G96))</f>
        <v>0</v>
      </c>
      <c r="I97" s="4">
        <f>H103*$G$22*0.3</f>
        <v>24.529378705581173</v>
      </c>
      <c r="J97" s="4">
        <f t="shared" si="9"/>
        <v>26.059557752445375</v>
      </c>
      <c r="K97" s="4">
        <f t="shared" si="10"/>
        <v>1.5301790468642018</v>
      </c>
    </row>
    <row r="98" spans="1:11" ht="12.75">
      <c r="A98" s="19" t="s">
        <v>58</v>
      </c>
      <c r="B98" s="18">
        <v>55</v>
      </c>
      <c r="C98" s="4">
        <f t="shared" si="11"/>
        <v>0</v>
      </c>
      <c r="D98" s="4">
        <f t="shared" si="12"/>
        <v>0</v>
      </c>
      <c r="E98" s="4">
        <f t="shared" si="13"/>
        <v>26.059557752445375</v>
      </c>
      <c r="F98" s="4">
        <v>0</v>
      </c>
      <c r="G98" s="4">
        <f>IF(B98&gt;G$15*G$17+G$21,0,(SUM(D$44:D97)*((1+G$13/G$14)^((B98-G$21)/(12/G$14))-1))-SUM(G$43:G97))</f>
        <v>0</v>
      </c>
      <c r="J98" s="4">
        <f t="shared" si="9"/>
        <v>26.059557752445375</v>
      </c>
      <c r="K98" s="4">
        <f t="shared" si="10"/>
        <v>26.059557752445375</v>
      </c>
    </row>
    <row r="99" spans="1:11" ht="12.75">
      <c r="A99" s="19" t="s">
        <v>59</v>
      </c>
      <c r="B99" s="18">
        <v>56</v>
      </c>
      <c r="C99" s="4">
        <f t="shared" si="11"/>
        <v>0</v>
      </c>
      <c r="D99" s="4">
        <f t="shared" si="12"/>
        <v>0</v>
      </c>
      <c r="E99" s="4">
        <f t="shared" si="13"/>
        <v>26.059557752445375</v>
      </c>
      <c r="F99" s="4">
        <v>0</v>
      </c>
      <c r="G99" s="4">
        <f>IF(B99&gt;G$15*G$17+G$21,0,(SUM(D$44:D98)*((1+G$13/G$14)^((B99-G$21)/(12/G$14))-1))-SUM(G$43:G98))</f>
        <v>0</v>
      </c>
      <c r="J99" s="4">
        <f t="shared" si="9"/>
        <v>26.059557752445375</v>
      </c>
      <c r="K99" s="4">
        <f t="shared" si="10"/>
        <v>26.059557752445375</v>
      </c>
    </row>
    <row r="100" spans="1:11" ht="12.75">
      <c r="A100" s="19" t="s">
        <v>60</v>
      </c>
      <c r="B100" s="18">
        <v>57</v>
      </c>
      <c r="C100" s="4">
        <f t="shared" si="11"/>
        <v>0</v>
      </c>
      <c r="D100" s="4">
        <f t="shared" si="12"/>
        <v>0</v>
      </c>
      <c r="E100" s="4">
        <f t="shared" si="13"/>
        <v>26.059557752445375</v>
      </c>
      <c r="F100" s="4">
        <v>0</v>
      </c>
      <c r="G100" s="4">
        <f>IF(B100&gt;G$15*G$17+G$21,0,(SUM(D$44:D99)*((1+G$13/G$14)^((B100-G$21)/(12/G$14))-1))-SUM(G$43:G99))</f>
        <v>0</v>
      </c>
      <c r="I100" s="4">
        <f>H103*$G$22*0.3</f>
        <v>24.529378705581173</v>
      </c>
      <c r="J100" s="4">
        <f t="shared" si="9"/>
        <v>26.059557752445375</v>
      </c>
      <c r="K100" s="4">
        <f t="shared" si="10"/>
        <v>1.5301790468642018</v>
      </c>
    </row>
    <row r="101" spans="1:11" ht="12.75">
      <c r="A101" s="19" t="s">
        <v>61</v>
      </c>
      <c r="B101" s="18">
        <v>58</v>
      </c>
      <c r="C101" s="4">
        <f t="shared" si="11"/>
        <v>0</v>
      </c>
      <c r="D101" s="4">
        <f t="shared" si="12"/>
        <v>0</v>
      </c>
      <c r="E101" s="4">
        <f t="shared" si="13"/>
        <v>26.059557752445375</v>
      </c>
      <c r="F101" s="4">
        <v>0</v>
      </c>
      <c r="G101" s="4">
        <f>IF(B101&gt;G$15*G$17+G$21,0,(SUM(D$44:D100)*((1+G$13/G$14)^((B101-G$21)/(12/G$14))-1))-SUM(G$43:G100))</f>
        <v>0</v>
      </c>
      <c r="J101" s="4">
        <f t="shared" si="9"/>
        <v>26.059557752445375</v>
      </c>
      <c r="K101" s="4">
        <f t="shared" si="10"/>
        <v>26.059557752445375</v>
      </c>
    </row>
    <row r="102" spans="1:11" ht="12.75">
      <c r="A102" s="19" t="s">
        <v>62</v>
      </c>
      <c r="B102" s="18">
        <v>59</v>
      </c>
      <c r="C102" s="4">
        <f t="shared" si="11"/>
        <v>0</v>
      </c>
      <c r="D102" s="4">
        <f t="shared" si="12"/>
        <v>0</v>
      </c>
      <c r="E102" s="4">
        <f t="shared" si="13"/>
        <v>26.059557752445375</v>
      </c>
      <c r="F102" s="4">
        <v>0</v>
      </c>
      <c r="G102" s="4">
        <f>IF(B102&gt;G$15*G$17+G$21,0,(SUM(D$44:D101)*((1+G$13/G$14)^((B102-G$21)/(12/G$14))-1))-SUM(G$43:G101))</f>
        <v>0</v>
      </c>
      <c r="J102" s="4">
        <f t="shared" si="9"/>
        <v>26.059557752445375</v>
      </c>
      <c r="K102" s="4">
        <f t="shared" si="10"/>
        <v>26.059557752445375</v>
      </c>
    </row>
    <row r="103" spans="1:11" ht="12.75">
      <c r="A103" s="19" t="s">
        <v>63</v>
      </c>
      <c r="B103" s="18">
        <v>60</v>
      </c>
      <c r="C103" s="4">
        <f t="shared" si="11"/>
        <v>0</v>
      </c>
      <c r="D103" s="4">
        <f t="shared" si="12"/>
        <v>0</v>
      </c>
      <c r="E103" s="4">
        <f t="shared" si="13"/>
        <v>26.059557752445375</v>
      </c>
      <c r="F103" s="4">
        <f>($G$10-SUM(F$41:F102)-SUM(C$56:C103))*$G$20</f>
        <v>79.1015625</v>
      </c>
      <c r="G103" s="4">
        <f>IF(B103&gt;G$15*G$17+G$21,0,(SUM(D$44:D102)*((1+G$13/G$14)^((B103-G$21)/(12/G$14))-1))-SUM(G$43:G102))</f>
        <v>0</v>
      </c>
      <c r="H103" s="4">
        <f>SUM(E92:E103)-F103-SUM(G92:G103)</f>
        <v>233.61313052934452</v>
      </c>
      <c r="I103" s="4">
        <f>H103*$G$22*0.25</f>
        <v>20.441148921317644</v>
      </c>
      <c r="J103" s="4">
        <f t="shared" si="9"/>
        <v>26.059557752445375</v>
      </c>
      <c r="K103" s="4">
        <f t="shared" si="10"/>
        <v>5.618408831127731</v>
      </c>
    </row>
    <row r="104" spans="1:11" ht="12.75">
      <c r="A104" s="19" t="s">
        <v>52</v>
      </c>
      <c r="B104" s="18">
        <v>61</v>
      </c>
      <c r="C104" s="4">
        <f t="shared" si="11"/>
        <v>0</v>
      </c>
      <c r="D104" s="4">
        <f t="shared" si="12"/>
        <v>0</v>
      </c>
      <c r="E104" s="4">
        <f t="shared" si="13"/>
        <v>0</v>
      </c>
      <c r="F104" s="4">
        <v>0</v>
      </c>
      <c r="G104" s="4">
        <f>IF(B104&gt;G$15*G$17+G$21,0,(SUM(D$44:D103)*((1+G$13/G$14)^((B104-G$21)/(12/G$14))-1))-SUM(G$43:G103))</f>
        <v>0</v>
      </c>
      <c r="J104" s="4">
        <f t="shared" si="9"/>
        <v>0</v>
      </c>
      <c r="K104" s="4">
        <f t="shared" si="10"/>
        <v>0</v>
      </c>
    </row>
    <row r="105" spans="1:12" ht="12.75">
      <c r="A105" s="19" t="s">
        <v>53</v>
      </c>
      <c r="B105" s="18">
        <v>62</v>
      </c>
      <c r="C105" s="4">
        <f t="shared" si="11"/>
        <v>0</v>
      </c>
      <c r="D105" s="4">
        <f t="shared" si="12"/>
        <v>0</v>
      </c>
      <c r="E105" s="4">
        <f t="shared" si="13"/>
        <v>0</v>
      </c>
      <c r="F105" s="4">
        <v>0</v>
      </c>
      <c r="G105" s="4">
        <f>IF(B105&gt;G$15*G$17+G$21,0,(SUM(D$44:D104)*((1+G$13/G$14)^((B105-G$21)/(12/G$14))-1))-SUM(G$43:G104))</f>
        <v>0</v>
      </c>
      <c r="J105" s="4">
        <f t="shared" si="9"/>
        <v>0</v>
      </c>
      <c r="K105" s="4">
        <f t="shared" si="10"/>
        <v>0</v>
      </c>
      <c r="L105" s="17"/>
    </row>
    <row r="106" spans="1:11" ht="12.75">
      <c r="A106" s="19" t="s">
        <v>54</v>
      </c>
      <c r="B106" s="18">
        <v>63</v>
      </c>
      <c r="C106" s="4">
        <f t="shared" si="11"/>
        <v>0</v>
      </c>
      <c r="D106" s="4">
        <f t="shared" si="12"/>
        <v>0</v>
      </c>
      <c r="E106" s="4">
        <f t="shared" si="13"/>
        <v>0</v>
      </c>
      <c r="F106" s="4">
        <v>0</v>
      </c>
      <c r="G106" s="4">
        <f>IF(B106&gt;G$15*G$17+G$21,0,(SUM(D$44:D105)*((1+G$13/G$14)^((B106-G$21)/(12/G$14))-1))-SUM(G$43:G105))</f>
        <v>0</v>
      </c>
      <c r="I106" s="4">
        <f>H115*G$22*0.15</f>
        <v>-3.1146240234375</v>
      </c>
      <c r="J106" s="4">
        <f t="shared" si="9"/>
        <v>0</v>
      </c>
      <c r="K106" s="4">
        <f t="shared" si="10"/>
        <v>3.1146240234375</v>
      </c>
    </row>
    <row r="107" spans="1:11" ht="12.75">
      <c r="A107" s="19" t="s">
        <v>55</v>
      </c>
      <c r="B107" s="18">
        <v>64</v>
      </c>
      <c r="C107" s="4">
        <f t="shared" si="11"/>
        <v>0</v>
      </c>
      <c r="D107" s="4">
        <f t="shared" si="12"/>
        <v>0</v>
      </c>
      <c r="E107" s="4">
        <f t="shared" si="13"/>
        <v>0</v>
      </c>
      <c r="F107" s="4">
        <v>0</v>
      </c>
      <c r="G107" s="4">
        <f>IF(B107&gt;G$15*G$17+G$21,0,(SUM(D$44:D106)*((1+G$13/G$14)^((B107-G$21)/(12/G$14))-1))-SUM(G$43:G106))</f>
        <v>0</v>
      </c>
      <c r="J107" s="4">
        <f t="shared" si="9"/>
        <v>0</v>
      </c>
      <c r="K107" s="4">
        <f t="shared" si="10"/>
        <v>0</v>
      </c>
    </row>
    <row r="108" spans="1:11" ht="12.75">
      <c r="A108" s="19" t="s">
        <v>56</v>
      </c>
      <c r="B108" s="18">
        <v>65</v>
      </c>
      <c r="C108" s="4">
        <f t="shared" si="11"/>
        <v>0</v>
      </c>
      <c r="D108" s="4">
        <f t="shared" si="12"/>
        <v>0</v>
      </c>
      <c r="E108" s="4">
        <f t="shared" si="13"/>
        <v>0</v>
      </c>
      <c r="F108" s="4">
        <v>0</v>
      </c>
      <c r="G108" s="4">
        <f>IF(B108&gt;G$15*G$17+G$21,0,(SUM(D$44:D107)*((1+G$13/G$14)^((B108-G$21)/(12/G$14))-1))-SUM(G$43:G107))</f>
        <v>0</v>
      </c>
      <c r="J108" s="4">
        <f aca="true" t="shared" si="14" ref="J108:J139">C108+D108+E108</f>
        <v>0</v>
      </c>
      <c r="K108" s="4">
        <f t="shared" si="10"/>
        <v>0</v>
      </c>
    </row>
    <row r="109" spans="1:11" ht="12.75">
      <c r="A109" s="19" t="s">
        <v>57</v>
      </c>
      <c r="B109" s="18">
        <v>66</v>
      </c>
      <c r="C109" s="4">
        <f t="shared" si="11"/>
        <v>0</v>
      </c>
      <c r="D109" s="4">
        <f t="shared" si="12"/>
        <v>0</v>
      </c>
      <c r="E109" s="4">
        <f t="shared" si="13"/>
        <v>0</v>
      </c>
      <c r="F109" s="4">
        <v>0</v>
      </c>
      <c r="G109" s="4">
        <f>IF(B109&gt;G$15*G$17+G$21,0,(SUM(D$44:D108)*((1+G$13/G$14)^((B109-G$21)/(12/G$14))-1))-SUM(G$43:G108))</f>
        <v>0</v>
      </c>
      <c r="I109" s="4">
        <f>H115*$G$22*0.3</f>
        <v>-6.229248046875</v>
      </c>
      <c r="J109" s="4">
        <f t="shared" si="14"/>
        <v>0</v>
      </c>
      <c r="K109" s="4">
        <f t="shared" si="10"/>
        <v>6.229248046875</v>
      </c>
    </row>
    <row r="110" spans="1:11" ht="12.75">
      <c r="A110" s="19" t="s">
        <v>58</v>
      </c>
      <c r="B110" s="18">
        <v>67</v>
      </c>
      <c r="C110" s="4">
        <f t="shared" si="11"/>
        <v>0</v>
      </c>
      <c r="D110" s="4">
        <f t="shared" si="12"/>
        <v>0</v>
      </c>
      <c r="E110" s="4">
        <f t="shared" si="13"/>
        <v>0</v>
      </c>
      <c r="F110" s="4">
        <v>0</v>
      </c>
      <c r="G110" s="4">
        <f>IF(B110&gt;G$15*G$17+G$21,0,(SUM(D$44:D109)*((1+G$13/G$14)^((B110-G$21)/(12/G$14))-1))-SUM(G$43:G109))</f>
        <v>0</v>
      </c>
      <c r="J110" s="4">
        <f t="shared" si="14"/>
        <v>0</v>
      </c>
      <c r="K110" s="4">
        <f t="shared" si="10"/>
        <v>0</v>
      </c>
    </row>
    <row r="111" spans="1:11" ht="12.75">
      <c r="A111" s="19" t="s">
        <v>59</v>
      </c>
      <c r="B111" s="18">
        <v>68</v>
      </c>
      <c r="C111" s="4">
        <f t="shared" si="11"/>
        <v>0</v>
      </c>
      <c r="D111" s="4">
        <f t="shared" si="12"/>
        <v>0</v>
      </c>
      <c r="E111" s="4">
        <f t="shared" si="13"/>
        <v>0</v>
      </c>
      <c r="F111" s="4">
        <v>0</v>
      </c>
      <c r="G111" s="4">
        <f>IF(B111&gt;G$15*G$17+G$21,0,(SUM(D$44:D110)*((1+G$13/G$14)^((B111-G$21)/(12/G$14))-1))-SUM(G$43:G110))</f>
        <v>0</v>
      </c>
      <c r="J111" s="4">
        <f t="shared" si="14"/>
        <v>0</v>
      </c>
      <c r="K111" s="4">
        <f t="shared" si="10"/>
        <v>0</v>
      </c>
    </row>
    <row r="112" spans="1:11" ht="12.75">
      <c r="A112" s="19" t="s">
        <v>60</v>
      </c>
      <c r="B112" s="18">
        <v>69</v>
      </c>
      <c r="C112" s="4">
        <f t="shared" si="11"/>
        <v>0</v>
      </c>
      <c r="D112" s="4">
        <f t="shared" si="12"/>
        <v>0</v>
      </c>
      <c r="E112" s="4">
        <f t="shared" si="13"/>
        <v>0</v>
      </c>
      <c r="F112" s="4">
        <v>0</v>
      </c>
      <c r="G112" s="4">
        <f>IF(B112&gt;G$15*G$17+G$21,0,(SUM(D$44:D111)*((1+G$13/G$14)^((B112-G$21)/(12/G$14))-1))-SUM(G$43:G111))</f>
        <v>0</v>
      </c>
      <c r="I112" s="4">
        <f>H115*$G$22*0.3</f>
        <v>-6.229248046875</v>
      </c>
      <c r="J112" s="4">
        <f t="shared" si="14"/>
        <v>0</v>
      </c>
      <c r="K112" s="4">
        <f t="shared" si="10"/>
        <v>6.229248046875</v>
      </c>
    </row>
    <row r="113" spans="1:11" ht="12.75">
      <c r="A113" s="19" t="s">
        <v>61</v>
      </c>
      <c r="B113" s="18">
        <v>70</v>
      </c>
      <c r="C113" s="4">
        <f t="shared" si="11"/>
        <v>0</v>
      </c>
      <c r="D113" s="4">
        <f t="shared" si="12"/>
        <v>0</v>
      </c>
      <c r="E113" s="4">
        <f t="shared" si="13"/>
        <v>0</v>
      </c>
      <c r="F113" s="4">
        <v>0</v>
      </c>
      <c r="G113" s="4">
        <f>IF(B113&gt;G$15*G$17+G$21,0,(SUM(D$44:D112)*((1+G$13/G$14)^((B113-G$21)/(12/G$14))-1))-SUM(G$43:G112))</f>
        <v>0</v>
      </c>
      <c r="J113" s="4">
        <f t="shared" si="14"/>
        <v>0</v>
      </c>
      <c r="K113" s="4">
        <f t="shared" si="10"/>
        <v>0</v>
      </c>
    </row>
    <row r="114" spans="1:11" ht="12.75">
      <c r="A114" s="19" t="s">
        <v>62</v>
      </c>
      <c r="B114" s="18">
        <v>71</v>
      </c>
      <c r="C114" s="4">
        <f t="shared" si="11"/>
        <v>0</v>
      </c>
      <c r="D114" s="4">
        <f t="shared" si="12"/>
        <v>0</v>
      </c>
      <c r="E114" s="4">
        <f t="shared" si="13"/>
        <v>0</v>
      </c>
      <c r="F114" s="4">
        <v>0</v>
      </c>
      <c r="G114" s="4">
        <f>IF(B114&gt;G$15*G$17+G$21,0,(SUM(D$44:D113)*((1+G$13/G$14)^((B114-G$21)/(12/G$14))-1))-SUM(G$43:G113))</f>
        <v>0</v>
      </c>
      <c r="J114" s="4">
        <f t="shared" si="14"/>
        <v>0</v>
      </c>
      <c r="K114" s="4">
        <f t="shared" si="10"/>
        <v>0</v>
      </c>
    </row>
    <row r="115" spans="1:11" ht="12.75">
      <c r="A115" s="19" t="s">
        <v>63</v>
      </c>
      <c r="B115" s="18">
        <v>72</v>
      </c>
      <c r="C115" s="4">
        <f t="shared" si="11"/>
        <v>0</v>
      </c>
      <c r="D115" s="4">
        <f t="shared" si="12"/>
        <v>0</v>
      </c>
      <c r="E115" s="4">
        <f t="shared" si="13"/>
        <v>0</v>
      </c>
      <c r="F115" s="4">
        <f>($G$10-SUM(F$41:F114)-SUM(C$56:C115))*$G$20</f>
        <v>59.326171875</v>
      </c>
      <c r="G115" s="4">
        <f>IF(B115&gt;G$15*G$17+G$21,0,(SUM(D$44:D114)*((1+G$13/G$14)^((B115-G$21)/(12/G$14))-1))-SUM(G$43:G114))</f>
        <v>0</v>
      </c>
      <c r="H115" s="4">
        <f>SUM(E104:E115)-F115-SUM(G104:G115)</f>
        <v>-59.326171875</v>
      </c>
      <c r="I115" s="4">
        <f>H115*$G$22*0.25</f>
        <v>-5.1910400390625</v>
      </c>
      <c r="J115" s="4">
        <f t="shared" si="14"/>
        <v>0</v>
      </c>
      <c r="K115" s="4">
        <f t="shared" si="10"/>
        <v>5.1910400390625</v>
      </c>
    </row>
    <row r="116" spans="1:11" ht="12.75">
      <c r="A116" s="19" t="s">
        <v>64</v>
      </c>
      <c r="B116" s="18">
        <v>73</v>
      </c>
      <c r="C116" s="4">
        <f t="shared" si="11"/>
        <v>0</v>
      </c>
      <c r="D116" s="4">
        <f t="shared" si="12"/>
        <v>0</v>
      </c>
      <c r="E116" s="4">
        <f t="shared" si="13"/>
        <v>0</v>
      </c>
      <c r="F116" s="4">
        <v>0</v>
      </c>
      <c r="G116" s="4">
        <f>IF(B116&gt;G$15*G$17+G$21,0,(SUM(D$44:D115)*((1+G$13/G$14)^((B116-G$21)/(12/G$14))-1))-SUM(G$43:G115))</f>
        <v>0</v>
      </c>
      <c r="J116" s="4">
        <f t="shared" si="14"/>
        <v>0</v>
      </c>
      <c r="K116" s="4">
        <f t="shared" si="10"/>
        <v>0</v>
      </c>
    </row>
    <row r="117" spans="1:11" ht="12.75">
      <c r="A117" s="19" t="s">
        <v>53</v>
      </c>
      <c r="B117" s="18">
        <v>74</v>
      </c>
      <c r="C117" s="4">
        <f t="shared" si="11"/>
        <v>0</v>
      </c>
      <c r="D117" s="4">
        <f t="shared" si="12"/>
        <v>0</v>
      </c>
      <c r="E117" s="4">
        <f t="shared" si="13"/>
        <v>0</v>
      </c>
      <c r="F117" s="4">
        <v>0</v>
      </c>
      <c r="G117" s="4">
        <f>IF(B117&gt;G$15*G$17+G$21,0,(SUM(D$44:D116)*((1+G$13/G$14)^((B117-G$21)/(12/G$14))-1))-SUM(G$43:G116))</f>
        <v>0</v>
      </c>
      <c r="J117" s="4">
        <f t="shared" si="14"/>
        <v>0</v>
      </c>
      <c r="K117" s="4">
        <f aca="true" t="shared" si="15" ref="K117:K148">C117+E117-I117+D117</f>
        <v>0</v>
      </c>
    </row>
    <row r="118" spans="1:11" ht="12.75">
      <c r="A118" s="19" t="s">
        <v>54</v>
      </c>
      <c r="B118" s="18">
        <v>75</v>
      </c>
      <c r="C118" s="4">
        <f t="shared" si="11"/>
        <v>0</v>
      </c>
      <c r="D118" s="4">
        <f t="shared" si="12"/>
        <v>0</v>
      </c>
      <c r="E118" s="4">
        <f t="shared" si="13"/>
        <v>0</v>
      </c>
      <c r="F118" s="4">
        <v>0</v>
      </c>
      <c r="G118" s="4">
        <f>IF(B118&gt;G$15*G$17+G$21,0,(SUM(D$44:D117)*((1+G$13/G$14)^((B118-G$21)/(12/G$14))-1))-SUM(G$43:G117))</f>
        <v>0</v>
      </c>
      <c r="I118" s="4">
        <f>H127*G$22*0.15</f>
        <v>-2.3359680175781246</v>
      </c>
      <c r="J118" s="4">
        <f t="shared" si="14"/>
        <v>0</v>
      </c>
      <c r="K118" s="4">
        <f t="shared" si="15"/>
        <v>2.3359680175781246</v>
      </c>
    </row>
    <row r="119" spans="1:11" ht="12.75">
      <c r="A119" s="19" t="s">
        <v>55</v>
      </c>
      <c r="B119" s="18">
        <v>76</v>
      </c>
      <c r="C119" s="4">
        <f t="shared" si="11"/>
        <v>0</v>
      </c>
      <c r="D119" s="4">
        <f t="shared" si="12"/>
        <v>0</v>
      </c>
      <c r="E119" s="4">
        <f t="shared" si="13"/>
        <v>0</v>
      </c>
      <c r="F119" s="4">
        <v>0</v>
      </c>
      <c r="G119" s="4">
        <f>IF(B119&gt;G$15*G$17+G$21,0,(SUM(D$44:D118)*((1+G$13/G$14)^((B119-G$21)/(12/G$14))-1))-SUM(G$43:G118))</f>
        <v>0</v>
      </c>
      <c r="J119" s="4">
        <f t="shared" si="14"/>
        <v>0</v>
      </c>
      <c r="K119" s="4">
        <f t="shared" si="15"/>
        <v>0</v>
      </c>
    </row>
    <row r="120" spans="1:11" ht="12.75">
      <c r="A120" s="19" t="s">
        <v>56</v>
      </c>
      <c r="B120" s="18">
        <v>77</v>
      </c>
      <c r="C120" s="4">
        <f aca="true" t="shared" si="16" ref="C120:C151">IF(B120=G$15*G$17+G$21,G$10*G$19,0)</f>
        <v>0</v>
      </c>
      <c r="D120" s="4">
        <f aca="true" t="shared" si="17" ref="D120:D151">IF(B120=$G$15*G$17+G$21,-G$10*G$12*((1+G$13/G$14)^(G$15*G$14)),0)</f>
        <v>0</v>
      </c>
      <c r="E120" s="4">
        <f aca="true" t="shared" si="18" ref="E120:E151">IF(B120&lt;$G$21,0,IF(B120&lt;=G$15*G$17+$G$21-1,+(G$8*12/G$17),0))</f>
        <v>0</v>
      </c>
      <c r="F120" s="4">
        <v>0</v>
      </c>
      <c r="G120" s="4">
        <f>IF(B120&gt;G$15*G$17+G$21,0,(SUM(D$44:D119)*((1+G$13/G$14)^((B120-G$21)/(12/G$14))-1))-SUM(G$43:G119))</f>
        <v>0</v>
      </c>
      <c r="J120" s="4">
        <f t="shared" si="14"/>
        <v>0</v>
      </c>
      <c r="K120" s="4">
        <f t="shared" si="15"/>
        <v>0</v>
      </c>
    </row>
    <row r="121" spans="1:11" ht="12.75">
      <c r="A121" s="19" t="s">
        <v>57</v>
      </c>
      <c r="B121" s="18">
        <v>78</v>
      </c>
      <c r="C121" s="4">
        <f t="shared" si="16"/>
        <v>0</v>
      </c>
      <c r="D121" s="4">
        <f t="shared" si="17"/>
        <v>0</v>
      </c>
      <c r="E121" s="4">
        <f t="shared" si="18"/>
        <v>0</v>
      </c>
      <c r="F121" s="4">
        <v>0</v>
      </c>
      <c r="G121" s="4">
        <f>IF(B121&gt;G$15*G$17+G$21,0,(SUM(D$44:D120)*((1+G$13/G$14)^((B121-G$21)/(12/G$14))-1))-SUM(G$43:G120))</f>
        <v>0</v>
      </c>
      <c r="I121" s="4">
        <f>H127*$G$22*0.3</f>
        <v>-4.671936035156249</v>
      </c>
      <c r="J121" s="4">
        <f t="shared" si="14"/>
        <v>0</v>
      </c>
      <c r="K121" s="4">
        <f t="shared" si="15"/>
        <v>4.671936035156249</v>
      </c>
    </row>
    <row r="122" spans="1:11" ht="12.75">
      <c r="A122" s="19" t="s">
        <v>58</v>
      </c>
      <c r="B122" s="18">
        <v>79</v>
      </c>
      <c r="C122" s="4">
        <f t="shared" si="16"/>
        <v>0</v>
      </c>
      <c r="D122" s="4">
        <f t="shared" si="17"/>
        <v>0</v>
      </c>
      <c r="E122" s="4">
        <f t="shared" si="18"/>
        <v>0</v>
      </c>
      <c r="F122" s="4">
        <v>0</v>
      </c>
      <c r="G122" s="4">
        <f>IF(B122&gt;G$15*G$17+G$21,0,(SUM(D$44:D121)*((1+G$13/G$14)^((B122-G$21)/(12/G$14))-1))-SUM(G$43:G121))</f>
        <v>0</v>
      </c>
      <c r="J122" s="4">
        <f t="shared" si="14"/>
        <v>0</v>
      </c>
      <c r="K122" s="4">
        <f t="shared" si="15"/>
        <v>0</v>
      </c>
    </row>
    <row r="123" spans="1:11" ht="12.75">
      <c r="A123" s="19" t="s">
        <v>59</v>
      </c>
      <c r="B123" s="18">
        <v>80</v>
      </c>
      <c r="C123" s="4">
        <f t="shared" si="16"/>
        <v>0</v>
      </c>
      <c r="D123" s="4">
        <f t="shared" si="17"/>
        <v>0</v>
      </c>
      <c r="E123" s="4">
        <f t="shared" si="18"/>
        <v>0</v>
      </c>
      <c r="F123" s="4">
        <v>0</v>
      </c>
      <c r="G123" s="4">
        <f>IF(B123&gt;G$15*G$17+G$21,0,(SUM(D$44:D122)*((1+G$13/G$14)^((B123-G$21)/(12/G$14))-1))-SUM(G$43:G122))</f>
        <v>0</v>
      </c>
      <c r="J123" s="4">
        <f t="shared" si="14"/>
        <v>0</v>
      </c>
      <c r="K123" s="4">
        <f t="shared" si="15"/>
        <v>0</v>
      </c>
    </row>
    <row r="124" spans="1:11" ht="12.75">
      <c r="A124" s="19" t="s">
        <v>60</v>
      </c>
      <c r="B124" s="18">
        <v>81</v>
      </c>
      <c r="C124" s="4">
        <f t="shared" si="16"/>
        <v>0</v>
      </c>
      <c r="D124" s="4">
        <f t="shared" si="17"/>
        <v>0</v>
      </c>
      <c r="E124" s="4">
        <f t="shared" si="18"/>
        <v>0</v>
      </c>
      <c r="F124" s="4">
        <v>0</v>
      </c>
      <c r="G124" s="4">
        <f>IF(B124&gt;G$15*G$17+G$21,0,(SUM(D$44:D123)*((1+G$13/G$14)^((B124-G$21)/(12/G$14))-1))-SUM(G$43:G123))</f>
        <v>0</v>
      </c>
      <c r="I124" s="4">
        <f>H127*$G$22*0.3</f>
        <v>-4.671936035156249</v>
      </c>
      <c r="J124" s="4">
        <f t="shared" si="14"/>
        <v>0</v>
      </c>
      <c r="K124" s="4">
        <f t="shared" si="15"/>
        <v>4.671936035156249</v>
      </c>
    </row>
    <row r="125" spans="1:11" ht="12.75">
      <c r="A125" s="19" t="s">
        <v>61</v>
      </c>
      <c r="B125" s="18">
        <v>82</v>
      </c>
      <c r="C125" s="4">
        <f t="shared" si="16"/>
        <v>0</v>
      </c>
      <c r="D125" s="4">
        <f t="shared" si="17"/>
        <v>0</v>
      </c>
      <c r="E125" s="4">
        <f t="shared" si="18"/>
        <v>0</v>
      </c>
      <c r="F125" s="4">
        <v>0</v>
      </c>
      <c r="G125" s="4">
        <f>IF(B125&gt;G$15*G$17+G$21,0,(SUM(D$44:D124)*((1+G$13/G$14)^((B125-G$21)/(12/G$14))-1))-SUM(G$43:G124))</f>
        <v>0</v>
      </c>
      <c r="J125" s="4">
        <f t="shared" si="14"/>
        <v>0</v>
      </c>
      <c r="K125" s="4">
        <f t="shared" si="15"/>
        <v>0</v>
      </c>
    </row>
    <row r="126" spans="1:11" ht="12.75">
      <c r="A126" s="19" t="s">
        <v>62</v>
      </c>
      <c r="B126" s="18">
        <v>83</v>
      </c>
      <c r="C126" s="4">
        <f t="shared" si="16"/>
        <v>0</v>
      </c>
      <c r="D126" s="4">
        <f t="shared" si="17"/>
        <v>0</v>
      </c>
      <c r="E126" s="4">
        <f t="shared" si="18"/>
        <v>0</v>
      </c>
      <c r="F126" s="4">
        <v>0</v>
      </c>
      <c r="G126" s="4">
        <f>IF(B126&gt;G$15*G$17+G$21,0,(SUM(D$44:D125)*((1+G$13/G$14)^((B126-G$21)/(12/G$14))-1))-SUM(G$43:G125))</f>
        <v>0</v>
      </c>
      <c r="J126" s="4">
        <f t="shared" si="14"/>
        <v>0</v>
      </c>
      <c r="K126" s="4">
        <f t="shared" si="15"/>
        <v>0</v>
      </c>
    </row>
    <row r="127" spans="1:11" ht="12.75">
      <c r="A127" s="19" t="s">
        <v>63</v>
      </c>
      <c r="B127" s="18">
        <v>84</v>
      </c>
      <c r="C127" s="4">
        <f t="shared" si="16"/>
        <v>0</v>
      </c>
      <c r="D127" s="4">
        <f t="shared" si="17"/>
        <v>0</v>
      </c>
      <c r="E127" s="4">
        <f t="shared" si="18"/>
        <v>0</v>
      </c>
      <c r="F127" s="4">
        <f>($G$10-SUM(F$41:F126)-SUM(C$56:C127))*$G$20</f>
        <v>44.49462890625</v>
      </c>
      <c r="G127" s="4">
        <f>IF(B127&gt;G$15*G$17+G$21,0,(SUM(D$44:D126)*((1+G$13/G$14)^((B127-G$21)/(12/G$14))-1))-SUM(G$43:G126))</f>
        <v>0</v>
      </c>
      <c r="H127" s="4">
        <f>SUM(E116:E127)-F127-SUM(G116:G127)</f>
        <v>-44.49462890625</v>
      </c>
      <c r="I127" s="4">
        <f>H127*$G$22*0.25</f>
        <v>-3.8932800292968746</v>
      </c>
      <c r="J127" s="4">
        <f t="shared" si="14"/>
        <v>0</v>
      </c>
      <c r="K127" s="4">
        <f t="shared" si="15"/>
        <v>3.8932800292968746</v>
      </c>
    </row>
    <row r="128" spans="1:11" ht="12.75">
      <c r="A128" s="19" t="s">
        <v>52</v>
      </c>
      <c r="B128" s="18">
        <v>85</v>
      </c>
      <c r="C128" s="4">
        <f t="shared" si="16"/>
        <v>0</v>
      </c>
      <c r="D128" s="4">
        <f t="shared" si="17"/>
        <v>0</v>
      </c>
      <c r="E128" s="4">
        <f t="shared" si="18"/>
        <v>0</v>
      </c>
      <c r="F128" s="4">
        <v>0</v>
      </c>
      <c r="G128" s="4">
        <f>IF(B128&gt;G$15*G$17+G$21,0,(SUM(D$44:D127)*((1+G$13/G$14)^((B128-G$21)/(12/G$14))-1))-SUM(G$43:G127))</f>
        <v>0</v>
      </c>
      <c r="J128" s="4">
        <f t="shared" si="14"/>
        <v>0</v>
      </c>
      <c r="K128" s="4">
        <f t="shared" si="15"/>
        <v>0</v>
      </c>
    </row>
    <row r="129" spans="1:11" ht="12.75">
      <c r="A129" s="19" t="s">
        <v>53</v>
      </c>
      <c r="B129" s="18">
        <v>86</v>
      </c>
      <c r="C129" s="4">
        <f t="shared" si="16"/>
        <v>0</v>
      </c>
      <c r="D129" s="4">
        <f t="shared" si="17"/>
        <v>0</v>
      </c>
      <c r="E129" s="4">
        <f t="shared" si="18"/>
        <v>0</v>
      </c>
      <c r="F129" s="4">
        <v>0</v>
      </c>
      <c r="G129" s="4">
        <f>IF(B129&gt;G$15*G$17+G$21,0,(SUM(D$44:D128)*((1+G$13/G$14)^((B129-G$21)/(12/G$14))-1))-SUM(G$43:G128))</f>
        <v>0</v>
      </c>
      <c r="J129" s="4">
        <f t="shared" si="14"/>
        <v>0</v>
      </c>
      <c r="K129" s="4">
        <f t="shared" si="15"/>
        <v>0</v>
      </c>
    </row>
    <row r="130" spans="1:11" ht="12.75">
      <c r="A130" s="19" t="s">
        <v>54</v>
      </c>
      <c r="B130" s="18">
        <v>87</v>
      </c>
      <c r="C130" s="4">
        <f t="shared" si="16"/>
        <v>0</v>
      </c>
      <c r="D130" s="4">
        <f t="shared" si="17"/>
        <v>0</v>
      </c>
      <c r="E130" s="4">
        <f t="shared" si="18"/>
        <v>0</v>
      </c>
      <c r="F130" s="4">
        <v>0</v>
      </c>
      <c r="G130" s="4">
        <f>IF(B130&gt;G$15*G$17+G$21,0,(SUM(D$44:D129)*((1+G$13/G$14)^((B130-G$21)/(12/G$14))-1))-SUM(G$43:G129))</f>
        <v>0</v>
      </c>
      <c r="I130" s="4">
        <f>H139*G$22*0.15</f>
        <v>-1.7519760131835938</v>
      </c>
      <c r="J130" s="4">
        <f t="shared" si="14"/>
        <v>0</v>
      </c>
      <c r="K130" s="4">
        <f t="shared" si="15"/>
        <v>1.7519760131835938</v>
      </c>
    </row>
    <row r="131" spans="1:11" ht="12.75">
      <c r="A131" s="19" t="s">
        <v>55</v>
      </c>
      <c r="B131" s="18">
        <v>88</v>
      </c>
      <c r="C131" s="4">
        <f t="shared" si="16"/>
        <v>0</v>
      </c>
      <c r="D131" s="4">
        <f t="shared" si="17"/>
        <v>0</v>
      </c>
      <c r="E131" s="4">
        <f t="shared" si="18"/>
        <v>0</v>
      </c>
      <c r="F131" s="4">
        <v>0</v>
      </c>
      <c r="G131" s="4">
        <f>IF(B131&gt;G$15*G$17+G$21,0,(SUM(D$44:D130)*((1+G$13/G$14)^((B131-G$21)/(12/G$14))-1))-SUM(G$43:G130))</f>
        <v>0</v>
      </c>
      <c r="J131" s="4">
        <f t="shared" si="14"/>
        <v>0</v>
      </c>
      <c r="K131" s="4">
        <f t="shared" si="15"/>
        <v>0</v>
      </c>
    </row>
    <row r="132" spans="1:12" ht="12.75">
      <c r="A132" s="19" t="s">
        <v>56</v>
      </c>
      <c r="B132" s="18">
        <v>89</v>
      </c>
      <c r="C132" s="4">
        <f t="shared" si="16"/>
        <v>0</v>
      </c>
      <c r="D132" s="4">
        <f t="shared" si="17"/>
        <v>0</v>
      </c>
      <c r="E132" s="4">
        <f t="shared" si="18"/>
        <v>0</v>
      </c>
      <c r="F132" s="4">
        <v>0</v>
      </c>
      <c r="G132" s="4">
        <f>IF(B132&gt;G$15*G$17+G$21,0,(SUM(D$44:D131)*((1+G$13/G$14)^((B132-G$21)/(12/G$14))-1))-SUM(G$43:G131))</f>
        <v>0</v>
      </c>
      <c r="J132" s="4">
        <f t="shared" si="14"/>
        <v>0</v>
      </c>
      <c r="K132" s="4">
        <f t="shared" si="15"/>
        <v>0</v>
      </c>
      <c r="L132" s="20"/>
    </row>
    <row r="133" spans="1:12" ht="12.75">
      <c r="A133" s="19" t="s">
        <v>57</v>
      </c>
      <c r="B133" s="18">
        <v>90</v>
      </c>
      <c r="C133" s="4">
        <f t="shared" si="16"/>
        <v>0</v>
      </c>
      <c r="D133" s="4">
        <f t="shared" si="17"/>
        <v>0</v>
      </c>
      <c r="E133" s="4">
        <f t="shared" si="18"/>
        <v>0</v>
      </c>
      <c r="F133" s="4">
        <v>0</v>
      </c>
      <c r="G133" s="4">
        <f>IF(B133&gt;G$15*G$17+G$21,0,(SUM(D$44:D132)*((1+G$13/G$14)^((B133-G$21)/(12/G$14))-1))-SUM(G$43:G132))</f>
        <v>0</v>
      </c>
      <c r="I133" s="4">
        <f>H139*$G$22*0.3</f>
        <v>-3.5039520263671875</v>
      </c>
      <c r="J133" s="4">
        <f t="shared" si="14"/>
        <v>0</v>
      </c>
      <c r="K133" s="4">
        <f t="shared" si="15"/>
        <v>3.5039520263671875</v>
      </c>
      <c r="L133" s="20"/>
    </row>
    <row r="134" spans="1:12" ht="12.75">
      <c r="A134" s="19" t="s">
        <v>58</v>
      </c>
      <c r="B134" s="18">
        <v>91</v>
      </c>
      <c r="C134" s="4">
        <f t="shared" si="16"/>
        <v>0</v>
      </c>
      <c r="D134" s="4">
        <f t="shared" si="17"/>
        <v>0</v>
      </c>
      <c r="E134" s="4">
        <f t="shared" si="18"/>
        <v>0</v>
      </c>
      <c r="F134" s="4">
        <v>0</v>
      </c>
      <c r="G134" s="4">
        <f>IF(B134&gt;G$15*G$17+G$21,0,(SUM(D$44:D133)*((1+G$13/G$14)^((B134-G$21)/(12/G$14))-1))-SUM(G$43:G133))</f>
        <v>0</v>
      </c>
      <c r="J134" s="4">
        <f t="shared" si="14"/>
        <v>0</v>
      </c>
      <c r="K134" s="4">
        <f t="shared" si="15"/>
        <v>0</v>
      </c>
      <c r="L134" s="20"/>
    </row>
    <row r="135" spans="1:12" ht="12.75">
      <c r="A135" s="19" t="s">
        <v>59</v>
      </c>
      <c r="B135" s="18">
        <v>92</v>
      </c>
      <c r="C135" s="4">
        <f t="shared" si="16"/>
        <v>0</v>
      </c>
      <c r="D135" s="4">
        <f t="shared" si="17"/>
        <v>0</v>
      </c>
      <c r="E135" s="4">
        <f t="shared" si="18"/>
        <v>0</v>
      </c>
      <c r="F135" s="4">
        <v>0</v>
      </c>
      <c r="G135" s="4">
        <f>IF(B135&gt;G$15*G$17+G$21,0,(SUM(D$44:D134)*((1+G$13/G$14)^((B135-G$21)/(12/G$14))-1))-SUM(G$43:G134))</f>
        <v>0</v>
      </c>
      <c r="J135" s="4">
        <f t="shared" si="14"/>
        <v>0</v>
      </c>
      <c r="K135" s="4">
        <f t="shared" si="15"/>
        <v>0</v>
      </c>
      <c r="L135" s="20"/>
    </row>
    <row r="136" spans="1:12" ht="12.75">
      <c r="A136" s="19" t="s">
        <v>60</v>
      </c>
      <c r="B136" s="18">
        <v>93</v>
      </c>
      <c r="C136" s="4">
        <f t="shared" si="16"/>
        <v>0</v>
      </c>
      <c r="D136" s="4">
        <f t="shared" si="17"/>
        <v>0</v>
      </c>
      <c r="E136" s="4">
        <f t="shared" si="18"/>
        <v>0</v>
      </c>
      <c r="F136" s="4">
        <v>0</v>
      </c>
      <c r="G136" s="4">
        <f>IF(B136&gt;G$15*G$17+G$21,0,(SUM(D$44:D135)*((1+G$13/G$14)^((B136-G$21)/(12/G$14))-1))-SUM(G$43:G135))</f>
        <v>0</v>
      </c>
      <c r="I136" s="4">
        <f>H139*$G$22*0.3</f>
        <v>-3.5039520263671875</v>
      </c>
      <c r="J136" s="4">
        <f t="shared" si="14"/>
        <v>0</v>
      </c>
      <c r="K136" s="4">
        <f t="shared" si="15"/>
        <v>3.5039520263671875</v>
      </c>
      <c r="L136" s="20"/>
    </row>
    <row r="137" spans="1:12" ht="12.75">
      <c r="A137" s="19" t="s">
        <v>61</v>
      </c>
      <c r="B137" s="18">
        <v>94</v>
      </c>
      <c r="C137" s="4">
        <f t="shared" si="16"/>
        <v>0</v>
      </c>
      <c r="D137" s="4">
        <f t="shared" si="17"/>
        <v>0</v>
      </c>
      <c r="E137" s="4">
        <f t="shared" si="18"/>
        <v>0</v>
      </c>
      <c r="F137" s="4">
        <v>0</v>
      </c>
      <c r="G137" s="4">
        <f>IF(B137&gt;G$15*G$17+G$21,0,(SUM(D$44:D136)*((1+G$13/G$14)^((B137-G$21)/(12/G$14))-1))-SUM(G$43:G136))</f>
        <v>0</v>
      </c>
      <c r="J137" s="4">
        <f t="shared" si="14"/>
        <v>0</v>
      </c>
      <c r="K137" s="4">
        <f t="shared" si="15"/>
        <v>0</v>
      </c>
      <c r="L137" s="20"/>
    </row>
    <row r="138" spans="1:12" ht="12.75">
      <c r="A138" s="19" t="s">
        <v>62</v>
      </c>
      <c r="B138" s="18">
        <v>95</v>
      </c>
      <c r="C138" s="4">
        <f t="shared" si="16"/>
        <v>0</v>
      </c>
      <c r="D138" s="4">
        <f t="shared" si="17"/>
        <v>0</v>
      </c>
      <c r="E138" s="4">
        <f t="shared" si="18"/>
        <v>0</v>
      </c>
      <c r="F138" s="4">
        <v>0</v>
      </c>
      <c r="G138" s="4">
        <f>IF(B138&gt;G$15*G$17+G$21,0,(SUM(D$44:D137)*((1+G$13/G$14)^((B138-G$21)/(12/G$14))-1))-SUM(G$43:G137))</f>
        <v>0</v>
      </c>
      <c r="J138" s="4">
        <f t="shared" si="14"/>
        <v>0</v>
      </c>
      <c r="K138" s="4">
        <f t="shared" si="15"/>
        <v>0</v>
      </c>
      <c r="L138" s="20"/>
    </row>
    <row r="139" spans="1:12" ht="12.75">
      <c r="A139" s="19" t="s">
        <v>63</v>
      </c>
      <c r="B139" s="18">
        <v>96</v>
      </c>
      <c r="C139" s="4">
        <f t="shared" si="16"/>
        <v>0</v>
      </c>
      <c r="D139" s="4">
        <f t="shared" si="17"/>
        <v>0</v>
      </c>
      <c r="E139" s="4">
        <f t="shared" si="18"/>
        <v>0</v>
      </c>
      <c r="F139" s="4">
        <f>($G$10-SUM(F$41:F138)-SUM(C$56:C139))*$G$20</f>
        <v>33.3709716796875</v>
      </c>
      <c r="G139" s="4">
        <f>IF(B139&gt;G$15*G$17+G$21,0,(SUM(D$44:D138)*((1+G$13/G$14)^((B139-G$21)/(12/G$14))-1))-SUM(G$43:G138))</f>
        <v>0</v>
      </c>
      <c r="H139" s="4">
        <f>SUM(E128:E139)-F139-SUM(G128:G139)</f>
        <v>-33.3709716796875</v>
      </c>
      <c r="I139" s="4">
        <f>H139*$G$22*0.25</f>
        <v>-2.9199600219726562</v>
      </c>
      <c r="J139" s="4">
        <f t="shared" si="14"/>
        <v>0</v>
      </c>
      <c r="K139" s="4">
        <f t="shared" si="15"/>
        <v>2.9199600219726562</v>
      </c>
      <c r="L139" s="20"/>
    </row>
    <row r="140" spans="1:12" ht="12.75">
      <c r="A140" s="19" t="s">
        <v>52</v>
      </c>
      <c r="B140" s="18">
        <v>97</v>
      </c>
      <c r="C140" s="4">
        <f t="shared" si="16"/>
        <v>0</v>
      </c>
      <c r="D140" s="4">
        <f t="shared" si="17"/>
        <v>0</v>
      </c>
      <c r="E140" s="4">
        <f t="shared" si="18"/>
        <v>0</v>
      </c>
      <c r="F140" s="4">
        <v>0</v>
      </c>
      <c r="G140" s="4">
        <f>IF(B140&gt;G$15*G$17+G$21,0,(SUM(D$44:D139)*((1+G$13/G$14)^((B140-G$21)/(12/G$14))-1))-SUM(G$43:G139))</f>
        <v>0</v>
      </c>
      <c r="J140" s="4">
        <f aca="true" t="shared" si="19" ref="J140:J175">C140+D140+E140</f>
        <v>0</v>
      </c>
      <c r="K140" s="4">
        <f t="shared" si="15"/>
        <v>0</v>
      </c>
      <c r="L140" s="20"/>
    </row>
    <row r="141" spans="1:12" ht="12.75">
      <c r="A141" s="19" t="s">
        <v>53</v>
      </c>
      <c r="B141" s="18">
        <v>98</v>
      </c>
      <c r="C141" s="4">
        <f t="shared" si="16"/>
        <v>0</v>
      </c>
      <c r="D141" s="4">
        <f t="shared" si="17"/>
        <v>0</v>
      </c>
      <c r="E141" s="4">
        <f t="shared" si="18"/>
        <v>0</v>
      </c>
      <c r="F141" s="4">
        <v>0</v>
      </c>
      <c r="G141" s="4">
        <f>IF(B141&gt;G$15*G$17+G$21,0,(SUM(D$44:D140)*((1+G$13/G$14)^((B141-G$21)/(12/G$14))-1))-SUM(G$43:G140))</f>
        <v>0</v>
      </c>
      <c r="J141" s="4">
        <f t="shared" si="19"/>
        <v>0</v>
      </c>
      <c r="K141" s="4">
        <f t="shared" si="15"/>
        <v>0</v>
      </c>
      <c r="L141" s="20"/>
    </row>
    <row r="142" spans="1:12" ht="12.75">
      <c r="A142" s="19" t="s">
        <v>54</v>
      </c>
      <c r="B142" s="18">
        <v>99</v>
      </c>
      <c r="C142" s="4">
        <f t="shared" si="16"/>
        <v>0</v>
      </c>
      <c r="D142" s="4">
        <f t="shared" si="17"/>
        <v>0</v>
      </c>
      <c r="E142" s="4">
        <f t="shared" si="18"/>
        <v>0</v>
      </c>
      <c r="F142" s="4">
        <v>0</v>
      </c>
      <c r="G142" s="4">
        <f>IF(B142&gt;G$15*G$17+G$21,0,(SUM(D$44:D141)*((1+G$13/G$14)^((B142-G$21)/(12/G$14))-1))-SUM(G$43:G141))</f>
        <v>0</v>
      </c>
      <c r="I142" s="4">
        <f>H151*G$22*0.15</f>
        <v>-1.3139820098876953</v>
      </c>
      <c r="J142" s="4">
        <f t="shared" si="19"/>
        <v>0</v>
      </c>
      <c r="K142" s="4">
        <f t="shared" si="15"/>
        <v>1.3139820098876953</v>
      </c>
      <c r="L142" s="20"/>
    </row>
    <row r="143" spans="1:12" ht="12.75">
      <c r="A143" s="19" t="s">
        <v>55</v>
      </c>
      <c r="B143" s="18">
        <v>100</v>
      </c>
      <c r="C143" s="4">
        <f t="shared" si="16"/>
        <v>0</v>
      </c>
      <c r="D143" s="4">
        <f t="shared" si="17"/>
        <v>0</v>
      </c>
      <c r="E143" s="4">
        <f t="shared" si="18"/>
        <v>0</v>
      </c>
      <c r="F143" s="4">
        <v>0</v>
      </c>
      <c r="G143" s="4">
        <f>IF(B143&gt;G$15*G$17+G$21,0,(SUM(D$44:D142)*((1+G$13/G$14)^((B143-G$21)/(12/G$14))-1))-SUM(G$43:G142))</f>
        <v>0</v>
      </c>
      <c r="J143" s="4">
        <f t="shared" si="19"/>
        <v>0</v>
      </c>
      <c r="K143" s="4">
        <f t="shared" si="15"/>
        <v>0</v>
      </c>
      <c r="L143" s="20"/>
    </row>
    <row r="144" spans="1:12" ht="12.75">
      <c r="A144" s="19" t="s">
        <v>56</v>
      </c>
      <c r="B144" s="18">
        <v>101</v>
      </c>
      <c r="C144" s="4">
        <f t="shared" si="16"/>
        <v>0</v>
      </c>
      <c r="D144" s="4">
        <f t="shared" si="17"/>
        <v>0</v>
      </c>
      <c r="E144" s="4">
        <f t="shared" si="18"/>
        <v>0</v>
      </c>
      <c r="F144" s="4">
        <v>0</v>
      </c>
      <c r="G144" s="4">
        <f>IF(B144&gt;G$15*G$17+G$21,0,(SUM(D$44:D143)*((1+G$13/G$14)^((B144-G$21)/(12/G$14))-1))-SUM(G$43:G143))</f>
        <v>0</v>
      </c>
      <c r="J144" s="4">
        <f t="shared" si="19"/>
        <v>0</v>
      </c>
      <c r="K144" s="4">
        <f t="shared" si="15"/>
        <v>0</v>
      </c>
      <c r="L144" s="20"/>
    </row>
    <row r="145" spans="1:12" ht="12.75">
      <c r="A145" s="19" t="s">
        <v>57</v>
      </c>
      <c r="B145" s="18">
        <v>102</v>
      </c>
      <c r="C145" s="4">
        <f t="shared" si="16"/>
        <v>0</v>
      </c>
      <c r="D145" s="4">
        <f t="shared" si="17"/>
        <v>0</v>
      </c>
      <c r="E145" s="4">
        <f t="shared" si="18"/>
        <v>0</v>
      </c>
      <c r="F145" s="4">
        <v>0</v>
      </c>
      <c r="G145" s="4">
        <f>IF(B145&gt;G$15*G$17+G$21,0,(SUM(D$44:D144)*((1+G$13/G$14)^((B145-G$21)/(12/G$14))-1))-SUM(G$43:G144))</f>
        <v>0</v>
      </c>
      <c r="I145" s="4">
        <f>H151*$G$22*0.3</f>
        <v>-2.6279640197753906</v>
      </c>
      <c r="J145" s="4">
        <f t="shared" si="19"/>
        <v>0</v>
      </c>
      <c r="K145" s="4">
        <f t="shared" si="15"/>
        <v>2.6279640197753906</v>
      </c>
      <c r="L145" s="20"/>
    </row>
    <row r="146" spans="1:12" ht="12.75">
      <c r="A146" s="19" t="s">
        <v>58</v>
      </c>
      <c r="B146" s="18">
        <v>103</v>
      </c>
      <c r="C146" s="4">
        <f t="shared" si="16"/>
        <v>0</v>
      </c>
      <c r="D146" s="4">
        <f t="shared" si="17"/>
        <v>0</v>
      </c>
      <c r="E146" s="4">
        <f t="shared" si="18"/>
        <v>0</v>
      </c>
      <c r="F146" s="4">
        <v>0</v>
      </c>
      <c r="G146" s="4">
        <f>IF(B146&gt;G$15*G$17+G$21,0,(SUM(D$44:D145)*((1+G$13/G$14)^((B146-G$21)/(12/G$14))-1))-SUM(G$43:G145))</f>
        <v>0</v>
      </c>
      <c r="J146" s="4">
        <f t="shared" si="19"/>
        <v>0</v>
      </c>
      <c r="K146" s="4">
        <f t="shared" si="15"/>
        <v>0</v>
      </c>
      <c r="L146" s="20"/>
    </row>
    <row r="147" spans="1:12" ht="12.75">
      <c r="A147" s="19" t="s">
        <v>59</v>
      </c>
      <c r="B147" s="18">
        <v>104</v>
      </c>
      <c r="C147" s="4">
        <f t="shared" si="16"/>
        <v>0</v>
      </c>
      <c r="D147" s="4">
        <f t="shared" si="17"/>
        <v>0</v>
      </c>
      <c r="E147" s="4">
        <f t="shared" si="18"/>
        <v>0</v>
      </c>
      <c r="F147" s="4">
        <v>0</v>
      </c>
      <c r="G147" s="4">
        <f>IF(B147&gt;G$15*G$17+G$21,0,(SUM(D$44:D146)*((1+G$13/G$14)^((B147-G$21)/(12/G$14))-1))-SUM(G$43:G146))</f>
        <v>0</v>
      </c>
      <c r="J147" s="4">
        <f t="shared" si="19"/>
        <v>0</v>
      </c>
      <c r="K147" s="4">
        <f t="shared" si="15"/>
        <v>0</v>
      </c>
      <c r="L147" s="20"/>
    </row>
    <row r="148" spans="1:12" ht="12.75">
      <c r="A148" s="19" t="s">
        <v>60</v>
      </c>
      <c r="B148" s="18">
        <v>105</v>
      </c>
      <c r="C148" s="4">
        <f t="shared" si="16"/>
        <v>0</v>
      </c>
      <c r="D148" s="4">
        <f t="shared" si="17"/>
        <v>0</v>
      </c>
      <c r="E148" s="4">
        <f t="shared" si="18"/>
        <v>0</v>
      </c>
      <c r="F148" s="4">
        <v>0</v>
      </c>
      <c r="G148" s="4">
        <f>IF(B148&gt;G$15*G$17+G$21,0,(SUM(D$44:D147)*((1+G$13/G$14)^((B148-G$21)/(12/G$14))-1))-SUM(G$43:G147))</f>
        <v>0</v>
      </c>
      <c r="I148" s="4">
        <f>H151*$G$22*0.3</f>
        <v>-2.6279640197753906</v>
      </c>
      <c r="J148" s="4">
        <f t="shared" si="19"/>
        <v>0</v>
      </c>
      <c r="K148" s="4">
        <f t="shared" si="15"/>
        <v>2.6279640197753906</v>
      </c>
      <c r="L148" s="20"/>
    </row>
    <row r="149" spans="1:12" ht="12.75">
      <c r="A149" s="19" t="s">
        <v>61</v>
      </c>
      <c r="B149" s="18">
        <v>106</v>
      </c>
      <c r="C149" s="4">
        <f t="shared" si="16"/>
        <v>0</v>
      </c>
      <c r="D149" s="4">
        <f t="shared" si="17"/>
        <v>0</v>
      </c>
      <c r="E149" s="4">
        <f t="shared" si="18"/>
        <v>0</v>
      </c>
      <c r="F149" s="4">
        <v>0</v>
      </c>
      <c r="G149" s="4">
        <f>IF(B149&gt;G$15*G$17+G$21,0,(SUM(D$44:D148)*((1+G$13/G$14)^((B149-G$21)/(12/G$14))-1))-SUM(G$43:G148))</f>
        <v>0</v>
      </c>
      <c r="J149" s="4">
        <f t="shared" si="19"/>
        <v>0</v>
      </c>
      <c r="K149" s="4">
        <f aca="true" t="shared" si="20" ref="K149:K175">C149+E149-I149+D149</f>
        <v>0</v>
      </c>
      <c r="L149" s="20"/>
    </row>
    <row r="150" spans="1:12" ht="12.75">
      <c r="A150" s="19" t="s">
        <v>62</v>
      </c>
      <c r="B150" s="18">
        <v>107</v>
      </c>
      <c r="C150" s="4">
        <f t="shared" si="16"/>
        <v>0</v>
      </c>
      <c r="D150" s="4">
        <f t="shared" si="17"/>
        <v>0</v>
      </c>
      <c r="E150" s="4">
        <f t="shared" si="18"/>
        <v>0</v>
      </c>
      <c r="F150" s="4">
        <v>0</v>
      </c>
      <c r="G150" s="4">
        <f>IF(B150&gt;G$15*G$17+G$21,0,(SUM(D$44:D149)*((1+G$13/G$14)^((B150-G$21)/(12/G$14))-1))-SUM(G$43:G149))</f>
        <v>0</v>
      </c>
      <c r="J150" s="4">
        <f t="shared" si="19"/>
        <v>0</v>
      </c>
      <c r="K150" s="4">
        <f t="shared" si="20"/>
        <v>0</v>
      </c>
      <c r="L150" s="20"/>
    </row>
    <row r="151" spans="1:12" ht="12.75">
      <c r="A151" s="19" t="s">
        <v>63</v>
      </c>
      <c r="B151" s="18">
        <v>108</v>
      </c>
      <c r="C151" s="4">
        <f t="shared" si="16"/>
        <v>0</v>
      </c>
      <c r="D151" s="4">
        <f t="shared" si="17"/>
        <v>0</v>
      </c>
      <c r="E151" s="4">
        <f t="shared" si="18"/>
        <v>0</v>
      </c>
      <c r="F151" s="4">
        <f>($G$10-SUM(F$41:F150)-SUM(C$56:C151))*$G$20</f>
        <v>25.028228759765625</v>
      </c>
      <c r="G151" s="4">
        <f>IF(B151&gt;G$15*G$17+G$21,0,(SUM(D$44:D150)*((1+G$13/G$14)^((B151-G$21)/(12/G$14))-1))-SUM(G$43:G150))</f>
        <v>0</v>
      </c>
      <c r="H151" s="4">
        <f>SUM(E140:E151)-F151-SUM(G140:G151)</f>
        <v>-25.028228759765625</v>
      </c>
      <c r="I151" s="4">
        <f>H151*$G$22*0.25</f>
        <v>-2.189970016479492</v>
      </c>
      <c r="J151" s="4">
        <f t="shared" si="19"/>
        <v>0</v>
      </c>
      <c r="K151" s="4">
        <f t="shared" si="20"/>
        <v>2.189970016479492</v>
      </c>
      <c r="L151" s="20"/>
    </row>
    <row r="152" spans="1:12" ht="12.75">
      <c r="A152" s="19" t="s">
        <v>52</v>
      </c>
      <c r="B152" s="18">
        <v>109</v>
      </c>
      <c r="C152" s="4">
        <f aca="true" t="shared" si="21" ref="C152:C175">IF(B152=G$15*G$17+G$21,G$10*G$19,0)</f>
        <v>0</v>
      </c>
      <c r="D152" s="4">
        <f aca="true" t="shared" si="22" ref="D152:D175">IF(B152=$G$15*G$17+G$21,-G$10*G$12*((1+G$13/G$14)^(G$15*G$14)),0)</f>
        <v>0</v>
      </c>
      <c r="E152" s="4">
        <f aca="true" t="shared" si="23" ref="E152:E175">IF(B152&lt;$G$21,0,IF(B152&lt;=G$15*G$17+$G$21-1,+(G$8*12/G$17),0))</f>
        <v>0</v>
      </c>
      <c r="F152" s="4">
        <v>0</v>
      </c>
      <c r="G152" s="4">
        <f>IF(B152&gt;G$15*G$17+G$21,0,(SUM(D$44:D151)*((1+G$13/G$14)^((B152-G$21)/(12/G$14))-1))-SUM(G$43:G151))</f>
        <v>0</v>
      </c>
      <c r="J152" s="4">
        <f t="shared" si="19"/>
        <v>0</v>
      </c>
      <c r="K152" s="4">
        <f t="shared" si="20"/>
        <v>0</v>
      </c>
      <c r="L152" s="20"/>
    </row>
    <row r="153" spans="1:12" ht="12.75">
      <c r="A153" s="19" t="s">
        <v>53</v>
      </c>
      <c r="B153" s="18">
        <v>110</v>
      </c>
      <c r="C153" s="4">
        <f t="shared" si="21"/>
        <v>0</v>
      </c>
      <c r="D153" s="4">
        <f t="shared" si="22"/>
        <v>0</v>
      </c>
      <c r="E153" s="4">
        <f t="shared" si="23"/>
        <v>0</v>
      </c>
      <c r="F153" s="4">
        <v>0</v>
      </c>
      <c r="G153" s="4">
        <f>IF(B153&gt;G$15*G$17+G$21,0,(SUM(D$44:D152)*((1+G$13/G$14)^((B153-G$21)/(12/G$14))-1))-SUM(G$43:G152))</f>
        <v>0</v>
      </c>
      <c r="J153" s="4">
        <f t="shared" si="19"/>
        <v>0</v>
      </c>
      <c r="K153" s="4">
        <f t="shared" si="20"/>
        <v>0</v>
      </c>
      <c r="L153" s="20"/>
    </row>
    <row r="154" spans="1:12" ht="12.75">
      <c r="A154" s="19" t="s">
        <v>54</v>
      </c>
      <c r="B154" s="18">
        <v>111</v>
      </c>
      <c r="C154" s="4">
        <f t="shared" si="21"/>
        <v>0</v>
      </c>
      <c r="D154" s="4">
        <f t="shared" si="22"/>
        <v>0</v>
      </c>
      <c r="E154" s="4">
        <f t="shared" si="23"/>
        <v>0</v>
      </c>
      <c r="F154" s="4">
        <v>0</v>
      </c>
      <c r="G154" s="4">
        <f>IF(B154&gt;G$15*G$17+G$21,0,(SUM(D$44:D153)*((1+G$13/G$14)^((B154-G$21)/(12/G$14))-1))-SUM(G$43:G153))</f>
        <v>0</v>
      </c>
      <c r="I154" s="4">
        <f>H163*G$22*0.15</f>
        <v>-0.9854865074157715</v>
      </c>
      <c r="J154" s="4">
        <f t="shared" si="19"/>
        <v>0</v>
      </c>
      <c r="K154" s="4">
        <f t="shared" si="20"/>
        <v>0.9854865074157715</v>
      </c>
      <c r="L154" s="20"/>
    </row>
    <row r="155" spans="1:12" ht="12.75">
      <c r="A155" s="19" t="s">
        <v>55</v>
      </c>
      <c r="B155" s="18">
        <v>112</v>
      </c>
      <c r="C155" s="4">
        <f t="shared" si="21"/>
        <v>0</v>
      </c>
      <c r="D155" s="4">
        <f t="shared" si="22"/>
        <v>0</v>
      </c>
      <c r="E155" s="4">
        <f t="shared" si="23"/>
        <v>0</v>
      </c>
      <c r="F155" s="4">
        <v>0</v>
      </c>
      <c r="G155" s="4">
        <f>IF(B155&gt;G$15*G$17+G$21,0,(SUM(D$44:D154)*((1+G$13/G$14)^((B155-G$21)/(12/G$14))-1))-SUM(G$43:G154))</f>
        <v>0</v>
      </c>
      <c r="J155" s="4">
        <f t="shared" si="19"/>
        <v>0</v>
      </c>
      <c r="K155" s="4">
        <f t="shared" si="20"/>
        <v>0</v>
      </c>
      <c r="L155" s="20"/>
    </row>
    <row r="156" spans="1:12" ht="12.75">
      <c r="A156" s="19" t="s">
        <v>56</v>
      </c>
      <c r="B156" s="18">
        <v>113</v>
      </c>
      <c r="C156" s="4">
        <f t="shared" si="21"/>
        <v>0</v>
      </c>
      <c r="D156" s="4">
        <f t="shared" si="22"/>
        <v>0</v>
      </c>
      <c r="E156" s="4">
        <f t="shared" si="23"/>
        <v>0</v>
      </c>
      <c r="F156" s="4">
        <v>0</v>
      </c>
      <c r="G156" s="4">
        <f>IF(B156&gt;G$15*G$17+G$21,0,(SUM(D$44:D155)*((1+G$13/G$14)^((B156-G$21)/(12/G$14))-1))-SUM(G$43:G155))</f>
        <v>0</v>
      </c>
      <c r="J156" s="4">
        <f t="shared" si="19"/>
        <v>0</v>
      </c>
      <c r="K156" s="4">
        <f t="shared" si="20"/>
        <v>0</v>
      </c>
      <c r="L156" s="20"/>
    </row>
    <row r="157" spans="1:12" ht="12.75">
      <c r="A157" s="19" t="s">
        <v>57</v>
      </c>
      <c r="B157" s="18">
        <v>114</v>
      </c>
      <c r="C157" s="4">
        <f t="shared" si="21"/>
        <v>0</v>
      </c>
      <c r="D157" s="4">
        <f t="shared" si="22"/>
        <v>0</v>
      </c>
      <c r="E157" s="4">
        <f t="shared" si="23"/>
        <v>0</v>
      </c>
      <c r="F157" s="4">
        <v>0</v>
      </c>
      <c r="G157" s="4">
        <f>IF(B157&gt;G$15*G$17+G$21,0,(SUM(D$44:D156)*((1+G$13/G$14)^((B157-G$21)/(12/G$14))-1))-SUM(G$43:G156))</f>
        <v>0</v>
      </c>
      <c r="I157" s="4">
        <f>H163*$G$22*0.3</f>
        <v>-1.970973014831543</v>
      </c>
      <c r="J157" s="4">
        <f t="shared" si="19"/>
        <v>0</v>
      </c>
      <c r="K157" s="4">
        <f t="shared" si="20"/>
        <v>1.970973014831543</v>
      </c>
      <c r="L157" s="20"/>
    </row>
    <row r="158" spans="1:12" ht="12.75">
      <c r="A158" s="19" t="s">
        <v>58</v>
      </c>
      <c r="B158" s="18">
        <v>115</v>
      </c>
      <c r="C158" s="4">
        <f t="shared" si="21"/>
        <v>0</v>
      </c>
      <c r="D158" s="4">
        <f t="shared" si="22"/>
        <v>0</v>
      </c>
      <c r="E158" s="4">
        <f t="shared" si="23"/>
        <v>0</v>
      </c>
      <c r="F158" s="4">
        <v>0</v>
      </c>
      <c r="G158" s="4">
        <f>IF(B158&gt;G$15*G$17+G$21,0,(SUM(D$44:D157)*((1+G$13/G$14)^((B158-G$21)/(12/G$14))-1))-SUM(G$43:G157))</f>
        <v>0</v>
      </c>
      <c r="J158" s="4">
        <f t="shared" si="19"/>
        <v>0</v>
      </c>
      <c r="K158" s="4">
        <f t="shared" si="20"/>
        <v>0</v>
      </c>
      <c r="L158" s="20"/>
    </row>
    <row r="159" spans="1:12" ht="12.75">
      <c r="A159" s="19" t="s">
        <v>59</v>
      </c>
      <c r="B159" s="18">
        <v>116</v>
      </c>
      <c r="C159" s="4">
        <f t="shared" si="21"/>
        <v>0</v>
      </c>
      <c r="D159" s="4">
        <f t="shared" si="22"/>
        <v>0</v>
      </c>
      <c r="E159" s="4">
        <f t="shared" si="23"/>
        <v>0</v>
      </c>
      <c r="F159" s="4">
        <v>0</v>
      </c>
      <c r="G159" s="4">
        <f>IF(B159&gt;G$15*G$17+G$21,0,(SUM(D$44:D158)*((1+G$13/G$14)^((B159-G$21)/(12/G$14))-1))-SUM(G$43:G158))</f>
        <v>0</v>
      </c>
      <c r="J159" s="4">
        <f t="shared" si="19"/>
        <v>0</v>
      </c>
      <c r="K159" s="4">
        <f t="shared" si="20"/>
        <v>0</v>
      </c>
      <c r="L159" s="20"/>
    </row>
    <row r="160" spans="1:12" ht="12.75">
      <c r="A160" s="19" t="s">
        <v>60</v>
      </c>
      <c r="B160" s="18">
        <v>117</v>
      </c>
      <c r="C160" s="4">
        <f t="shared" si="21"/>
        <v>0</v>
      </c>
      <c r="D160" s="4">
        <f t="shared" si="22"/>
        <v>0</v>
      </c>
      <c r="E160" s="4">
        <f t="shared" si="23"/>
        <v>0</v>
      </c>
      <c r="F160" s="4">
        <v>0</v>
      </c>
      <c r="G160" s="4">
        <f>IF(B160&gt;G$15*G$17+G$21,0,(SUM(D$44:D159)*((1+G$13/G$14)^((B160-G$21)/(12/G$14))-1))-SUM(G$43:G159))</f>
        <v>0</v>
      </c>
      <c r="I160" s="4">
        <f>H163*$G$22*0.3</f>
        <v>-1.970973014831543</v>
      </c>
      <c r="J160" s="4">
        <f t="shared" si="19"/>
        <v>0</v>
      </c>
      <c r="K160" s="4">
        <f t="shared" si="20"/>
        <v>1.970973014831543</v>
      </c>
      <c r="L160" s="20"/>
    </row>
    <row r="161" spans="1:12" ht="12.75">
      <c r="A161" s="19" t="s">
        <v>61</v>
      </c>
      <c r="B161" s="18">
        <v>118</v>
      </c>
      <c r="C161" s="4">
        <f t="shared" si="21"/>
        <v>0</v>
      </c>
      <c r="D161" s="4">
        <f t="shared" si="22"/>
        <v>0</v>
      </c>
      <c r="E161" s="4">
        <f t="shared" si="23"/>
        <v>0</v>
      </c>
      <c r="F161" s="4">
        <v>0</v>
      </c>
      <c r="G161" s="4">
        <f>IF(B161&gt;G$15*G$17+G$21,0,(SUM(D$44:D160)*((1+G$13/G$14)^((B161-G$21)/(12/G$14))-1))-SUM(G$43:G160))</f>
        <v>0</v>
      </c>
      <c r="J161" s="4">
        <f t="shared" si="19"/>
        <v>0</v>
      </c>
      <c r="K161" s="4">
        <f t="shared" si="20"/>
        <v>0</v>
      </c>
      <c r="L161" s="20"/>
    </row>
    <row r="162" spans="1:12" ht="12.75">
      <c r="A162" s="19" t="s">
        <v>62</v>
      </c>
      <c r="B162" s="18">
        <v>119</v>
      </c>
      <c r="C162" s="4">
        <f t="shared" si="21"/>
        <v>0</v>
      </c>
      <c r="D162" s="4">
        <f t="shared" si="22"/>
        <v>0</v>
      </c>
      <c r="E162" s="4">
        <f t="shared" si="23"/>
        <v>0</v>
      </c>
      <c r="F162" s="4">
        <v>0</v>
      </c>
      <c r="G162" s="4">
        <f>IF(B162&gt;G$15*G$17+G$21,0,(SUM(D$44:D161)*((1+G$13/G$14)^((B162-G$21)/(12/G$14))-1))-SUM(G$43:G161))</f>
        <v>0</v>
      </c>
      <c r="J162" s="4">
        <f t="shared" si="19"/>
        <v>0</v>
      </c>
      <c r="K162" s="4">
        <f t="shared" si="20"/>
        <v>0</v>
      </c>
      <c r="L162" s="20"/>
    </row>
    <row r="163" spans="1:12" ht="12.75">
      <c r="A163" s="19" t="s">
        <v>63</v>
      </c>
      <c r="B163" s="18">
        <v>120</v>
      </c>
      <c r="C163" s="4">
        <f t="shared" si="21"/>
        <v>0</v>
      </c>
      <c r="D163" s="4">
        <f t="shared" si="22"/>
        <v>0</v>
      </c>
      <c r="E163" s="4">
        <f t="shared" si="23"/>
        <v>0</v>
      </c>
      <c r="F163" s="4">
        <f>($G$10-SUM(F$41:F162)-SUM(C$56:C163))*$G$20</f>
        <v>18.77117156982422</v>
      </c>
      <c r="G163" s="4">
        <f>IF(B163&gt;G$15*G$17+G$21,0,(SUM(D$44:D162)*((1+G$13/G$14)^((B163-G$21)/(12/G$14))-1))-SUM(G$43:G162))</f>
        <v>0</v>
      </c>
      <c r="H163" s="4">
        <f>SUM(E152:E163)-F163-SUM(G152:G163)</f>
        <v>-18.77117156982422</v>
      </c>
      <c r="I163" s="4">
        <f>H163*$G$22*0.25</f>
        <v>-1.6424775123596191</v>
      </c>
      <c r="J163" s="4">
        <f t="shared" si="19"/>
        <v>0</v>
      </c>
      <c r="K163" s="4">
        <f t="shared" si="20"/>
        <v>1.6424775123596191</v>
      </c>
      <c r="L163" s="20"/>
    </row>
    <row r="164" spans="1:12" ht="12.75">
      <c r="A164" s="19" t="s">
        <v>52</v>
      </c>
      <c r="B164" s="18">
        <v>121</v>
      </c>
      <c r="C164" s="4">
        <f t="shared" si="21"/>
        <v>0</v>
      </c>
      <c r="D164" s="4">
        <f t="shared" si="22"/>
        <v>0</v>
      </c>
      <c r="E164" s="4">
        <f t="shared" si="23"/>
        <v>0</v>
      </c>
      <c r="F164" s="4">
        <v>0</v>
      </c>
      <c r="G164" s="4">
        <f>IF(B164&gt;G$15*G$17+G$21,0,(SUM(D$44:D163)*((1+G$13/G$14)^((B164-G$21)/(12/G$14))-1))-SUM(G$43:G163))</f>
        <v>0</v>
      </c>
      <c r="J164" s="4">
        <f t="shared" si="19"/>
        <v>0</v>
      </c>
      <c r="K164" s="4">
        <f t="shared" si="20"/>
        <v>0</v>
      </c>
      <c r="L164" s="20"/>
    </row>
    <row r="165" spans="1:12" ht="12.75">
      <c r="A165" s="19" t="s">
        <v>53</v>
      </c>
      <c r="B165" s="18">
        <v>122</v>
      </c>
      <c r="C165" s="4">
        <f t="shared" si="21"/>
        <v>0</v>
      </c>
      <c r="D165" s="4">
        <f t="shared" si="22"/>
        <v>0</v>
      </c>
      <c r="E165" s="4">
        <f t="shared" si="23"/>
        <v>0</v>
      </c>
      <c r="F165" s="4">
        <v>0</v>
      </c>
      <c r="G165" s="4">
        <f>IF(B165&gt;G$15*G$17+G$21,0,(SUM(D$44:D164)*((1+G$13/G$14)^((B165-G$21)/(12/G$14))-1))-SUM(G$43:G164))</f>
        <v>0</v>
      </c>
      <c r="J165" s="4">
        <f t="shared" si="19"/>
        <v>0</v>
      </c>
      <c r="K165" s="4">
        <f t="shared" si="20"/>
        <v>0</v>
      </c>
      <c r="L165" s="20"/>
    </row>
    <row r="166" spans="1:12" ht="12.75">
      <c r="A166" s="19" t="s">
        <v>54</v>
      </c>
      <c r="B166" s="18">
        <v>123</v>
      </c>
      <c r="C166" s="4">
        <f t="shared" si="21"/>
        <v>0</v>
      </c>
      <c r="D166" s="4">
        <f t="shared" si="22"/>
        <v>0</v>
      </c>
      <c r="E166" s="4">
        <f t="shared" si="23"/>
        <v>0</v>
      </c>
      <c r="F166" s="4">
        <v>0</v>
      </c>
      <c r="G166" s="4">
        <f>IF(B166&gt;G$15*G$17+G$21,0,(SUM(D$44:D165)*((1+G$13/G$14)^((B166-G$21)/(12/G$14))-1))-SUM(G$43:G165))</f>
        <v>0</v>
      </c>
      <c r="I166" s="4">
        <f>H175*G$22*0.15</f>
        <v>-0.7391148805618286</v>
      </c>
      <c r="J166" s="4">
        <f t="shared" si="19"/>
        <v>0</v>
      </c>
      <c r="K166" s="4">
        <f t="shared" si="20"/>
        <v>0.7391148805618286</v>
      </c>
      <c r="L166" s="20"/>
    </row>
    <row r="167" spans="1:12" ht="12.75">
      <c r="A167" s="19" t="s">
        <v>55</v>
      </c>
      <c r="B167" s="18">
        <v>124</v>
      </c>
      <c r="C167" s="4">
        <f t="shared" si="21"/>
        <v>0</v>
      </c>
      <c r="D167" s="4">
        <f t="shared" si="22"/>
        <v>0</v>
      </c>
      <c r="E167" s="4">
        <f t="shared" si="23"/>
        <v>0</v>
      </c>
      <c r="F167" s="4">
        <v>0</v>
      </c>
      <c r="G167" s="4">
        <f>IF(B167&gt;G$15*G$17+G$21,0,(SUM(D$44:D166)*((1+G$13/G$14)^((B167-G$21)/(12/G$14))-1))-SUM(G$43:G166))</f>
        <v>0</v>
      </c>
      <c r="J167" s="4">
        <f t="shared" si="19"/>
        <v>0</v>
      </c>
      <c r="K167" s="4">
        <f t="shared" si="20"/>
        <v>0</v>
      </c>
      <c r="L167" s="20"/>
    </row>
    <row r="168" spans="1:12" ht="12.75">
      <c r="A168" s="19" t="s">
        <v>56</v>
      </c>
      <c r="B168" s="18">
        <v>125</v>
      </c>
      <c r="C168" s="4">
        <f t="shared" si="21"/>
        <v>0</v>
      </c>
      <c r="D168" s="4">
        <f t="shared" si="22"/>
        <v>0</v>
      </c>
      <c r="E168" s="4">
        <f t="shared" si="23"/>
        <v>0</v>
      </c>
      <c r="F168" s="4">
        <v>0</v>
      </c>
      <c r="G168" s="4">
        <f>IF(B168&gt;G$15*G$17+G$21,0,(SUM(D$44:D167)*((1+G$13/G$14)^((B168-G$21)/(12/G$14))-1))-SUM(G$43:G167))</f>
        <v>0</v>
      </c>
      <c r="J168" s="4">
        <f t="shared" si="19"/>
        <v>0</v>
      </c>
      <c r="K168" s="4">
        <f t="shared" si="20"/>
        <v>0</v>
      </c>
      <c r="L168" s="20"/>
    </row>
    <row r="169" spans="1:12" ht="12.75">
      <c r="A169" s="19" t="s">
        <v>57</v>
      </c>
      <c r="B169" s="18">
        <v>126</v>
      </c>
      <c r="C169" s="4">
        <f t="shared" si="21"/>
        <v>0</v>
      </c>
      <c r="D169" s="4">
        <f t="shared" si="22"/>
        <v>0</v>
      </c>
      <c r="E169" s="4">
        <f t="shared" si="23"/>
        <v>0</v>
      </c>
      <c r="F169" s="4">
        <v>0</v>
      </c>
      <c r="G169" s="4">
        <f>IF(B169&gt;G$15*G$17+G$21,0,(SUM(D$44:D168)*((1+G$13/G$14)^((B169-G$21)/(12/G$14))-1))-SUM(G$43:G168))</f>
        <v>0</v>
      </c>
      <c r="I169" s="4">
        <f>H175*$G$22*0.3</f>
        <v>-1.4782297611236572</v>
      </c>
      <c r="J169" s="4">
        <f t="shared" si="19"/>
        <v>0</v>
      </c>
      <c r="K169" s="4">
        <f t="shared" si="20"/>
        <v>1.4782297611236572</v>
      </c>
      <c r="L169" s="20"/>
    </row>
    <row r="170" spans="1:12" ht="12.75">
      <c r="A170" s="19" t="s">
        <v>58</v>
      </c>
      <c r="B170" s="18">
        <v>127</v>
      </c>
      <c r="C170" s="4">
        <f t="shared" si="21"/>
        <v>0</v>
      </c>
      <c r="D170" s="4">
        <f t="shared" si="22"/>
        <v>0</v>
      </c>
      <c r="E170" s="4">
        <f t="shared" si="23"/>
        <v>0</v>
      </c>
      <c r="F170" s="4">
        <v>0</v>
      </c>
      <c r="G170" s="4">
        <f>IF(B170&gt;G$15*G$17+G$21,0,(SUM(D$44:D169)*((1+G$13/G$14)^((B170-G$21)/(12/G$14))-1))-SUM(G$43:G169))</f>
        <v>0</v>
      </c>
      <c r="J170" s="4">
        <f t="shared" si="19"/>
        <v>0</v>
      </c>
      <c r="K170" s="4">
        <f t="shared" si="20"/>
        <v>0</v>
      </c>
      <c r="L170" s="20"/>
    </row>
    <row r="171" spans="1:12" ht="12.75">
      <c r="A171" s="19" t="s">
        <v>59</v>
      </c>
      <c r="B171" s="18">
        <v>128</v>
      </c>
      <c r="C171" s="4">
        <f t="shared" si="21"/>
        <v>0</v>
      </c>
      <c r="D171" s="4">
        <f t="shared" si="22"/>
        <v>0</v>
      </c>
      <c r="E171" s="4">
        <f t="shared" si="23"/>
        <v>0</v>
      </c>
      <c r="F171" s="4">
        <v>0</v>
      </c>
      <c r="G171" s="4">
        <f>IF(B171&gt;G$15*G$17+G$21,0,(SUM(D$44:D170)*((1+G$13/G$14)^((B171-G$21)/(12/G$14))-1))-SUM(G$43:G170))</f>
        <v>0</v>
      </c>
      <c r="J171" s="4">
        <f t="shared" si="19"/>
        <v>0</v>
      </c>
      <c r="K171" s="4">
        <f t="shared" si="20"/>
        <v>0</v>
      </c>
      <c r="L171" s="20"/>
    </row>
    <row r="172" spans="1:12" ht="12.75">
      <c r="A172" s="19" t="s">
        <v>60</v>
      </c>
      <c r="B172" s="18">
        <v>129</v>
      </c>
      <c r="C172" s="4">
        <f t="shared" si="21"/>
        <v>0</v>
      </c>
      <c r="D172" s="4">
        <f t="shared" si="22"/>
        <v>0</v>
      </c>
      <c r="E172" s="4">
        <f t="shared" si="23"/>
        <v>0</v>
      </c>
      <c r="F172" s="4">
        <v>0</v>
      </c>
      <c r="G172" s="4">
        <f>IF(B172&gt;G$15*G$17+G$21,0,(SUM(D$44:D171)*((1+G$13/G$14)^((B172-G$21)/(12/G$14))-1))-SUM(G$43:G171))</f>
        <v>0</v>
      </c>
      <c r="I172" s="4">
        <f>H175*$G$22*0.3</f>
        <v>-1.4782297611236572</v>
      </c>
      <c r="J172" s="4">
        <f t="shared" si="19"/>
        <v>0</v>
      </c>
      <c r="K172" s="4">
        <f t="shared" si="20"/>
        <v>1.4782297611236572</v>
      </c>
      <c r="L172" s="20"/>
    </row>
    <row r="173" spans="1:12" ht="12.75">
      <c r="A173" s="19" t="s">
        <v>61</v>
      </c>
      <c r="B173" s="18">
        <v>130</v>
      </c>
      <c r="C173" s="4">
        <f t="shared" si="21"/>
        <v>0</v>
      </c>
      <c r="D173" s="4">
        <f t="shared" si="22"/>
        <v>0</v>
      </c>
      <c r="E173" s="4">
        <f t="shared" si="23"/>
        <v>0</v>
      </c>
      <c r="F173" s="4">
        <v>0</v>
      </c>
      <c r="G173" s="4">
        <f>IF(B173&gt;G$15*G$17+G$21,0,(SUM(D$44:D172)*((1+G$13/G$14)^((B173-G$21)/(12/G$14))-1))-SUM(G$43:G172))</f>
        <v>0</v>
      </c>
      <c r="J173" s="4">
        <f t="shared" si="19"/>
        <v>0</v>
      </c>
      <c r="K173" s="4">
        <f t="shared" si="20"/>
        <v>0</v>
      </c>
      <c r="L173" s="20"/>
    </row>
    <row r="174" spans="1:12" ht="12.75">
      <c r="A174" s="19" t="s">
        <v>62</v>
      </c>
      <c r="B174" s="18">
        <v>131</v>
      </c>
      <c r="C174" s="4">
        <f t="shared" si="21"/>
        <v>0</v>
      </c>
      <c r="D174" s="4">
        <f t="shared" si="22"/>
        <v>0</v>
      </c>
      <c r="E174" s="4">
        <f t="shared" si="23"/>
        <v>0</v>
      </c>
      <c r="F174" s="4">
        <v>0</v>
      </c>
      <c r="G174" s="4">
        <f>IF(B174&gt;G$15*G$17+G$21,0,(SUM(D$44:D173)*((1+G$13/G$14)^((B174-G$21)/(12/G$14))-1))-SUM(G$43:G173))</f>
        <v>0</v>
      </c>
      <c r="J174" s="4">
        <f t="shared" si="19"/>
        <v>0</v>
      </c>
      <c r="K174" s="4">
        <f t="shared" si="20"/>
        <v>0</v>
      </c>
      <c r="L174" s="20"/>
    </row>
    <row r="175" spans="1:11" ht="12.75">
      <c r="A175" s="19" t="s">
        <v>63</v>
      </c>
      <c r="B175" s="18">
        <v>132</v>
      </c>
      <c r="C175" s="4">
        <f t="shared" si="21"/>
        <v>0</v>
      </c>
      <c r="D175" s="4">
        <f t="shared" si="22"/>
        <v>0</v>
      </c>
      <c r="E175" s="4">
        <f t="shared" si="23"/>
        <v>0</v>
      </c>
      <c r="F175" s="4">
        <f>($G$10-SUM(F$41:F174)-SUM(C$56:C175))*$G$20</f>
        <v>14.078378677368164</v>
      </c>
      <c r="G175" s="4">
        <f>IF(B175&gt;G$15*G$17+G$21,0,(SUM(D$44:D174)*((1+G$13/G$14)^((B175-G$21)/(12/G$14))-1))-SUM(G$43:G174))</f>
        <v>0</v>
      </c>
      <c r="H175" s="4">
        <f>SUM(E164:E175)-F175-SUM(G164:G175)</f>
        <v>-14.078378677368164</v>
      </c>
      <c r="I175" s="4">
        <f>H175*$G$22*0.25</f>
        <v>-1.2318581342697144</v>
      </c>
      <c r="J175" s="4">
        <f t="shared" si="19"/>
        <v>0</v>
      </c>
      <c r="K175" s="4">
        <f t="shared" si="20"/>
        <v>1.2318581342697144</v>
      </c>
    </row>
    <row r="177" spans="1:12" ht="12.75">
      <c r="A177" s="18"/>
      <c r="D177" s="20"/>
      <c r="E177" s="20"/>
      <c r="K177" s="20"/>
      <c r="L177" s="20"/>
    </row>
    <row r="178" spans="1:12" ht="12.75">
      <c r="A178" s="18"/>
      <c r="D178" s="20"/>
      <c r="E178" s="20"/>
      <c r="F178" s="1" t="s">
        <v>65</v>
      </c>
      <c r="J178" s="17">
        <f>IRR(J44:J175,0.23/12)</f>
        <v>0.01666666666658007</v>
      </c>
      <c r="K178" s="17">
        <f>IRR(K44:K175,G23/12)</f>
        <v>0.010628160470967154</v>
      </c>
      <c r="L178" s="20"/>
    </row>
    <row r="179" spans="6:10" ht="12.75">
      <c r="F179" s="1" t="s">
        <v>66</v>
      </c>
      <c r="J179" s="17">
        <f>J178*12</f>
        <v>0.19999999999896084</v>
      </c>
    </row>
    <row r="181" spans="1:12" ht="12.75">
      <c r="A181" s="16" t="s">
        <v>34</v>
      </c>
      <c r="B181" s="16" t="s">
        <v>34</v>
      </c>
      <c r="C181" s="16" t="s">
        <v>34</v>
      </c>
      <c r="D181" s="16" t="s">
        <v>34</v>
      </c>
      <c r="E181" s="16" t="s">
        <v>34</v>
      </c>
      <c r="F181" s="16" t="s">
        <v>34</v>
      </c>
      <c r="G181" s="16" t="s">
        <v>34</v>
      </c>
      <c r="H181" s="16" t="s">
        <v>34</v>
      </c>
      <c r="I181" s="16" t="s">
        <v>34</v>
      </c>
      <c r="J181" s="16" t="s">
        <v>34</v>
      </c>
      <c r="K181" s="16" t="s">
        <v>34</v>
      </c>
      <c r="L181" s="16" t="s">
        <v>34</v>
      </c>
    </row>
    <row r="183" spans="1:4" ht="12.75">
      <c r="A183" s="3"/>
      <c r="D183" s="1" t="s">
        <v>67</v>
      </c>
    </row>
    <row r="185" spans="1:12" ht="12.75">
      <c r="A185" s="3"/>
      <c r="B185" s="1" t="s">
        <v>36</v>
      </c>
      <c r="C185" s="1" t="s">
        <v>68</v>
      </c>
      <c r="D185" s="1" t="s">
        <v>38</v>
      </c>
      <c r="E185" s="1" t="s">
        <v>69</v>
      </c>
      <c r="F185" s="1" t="s">
        <v>70</v>
      </c>
      <c r="G185" s="1" t="s">
        <v>41</v>
      </c>
      <c r="H185" s="1" t="s">
        <v>42</v>
      </c>
      <c r="I185" s="1" t="s">
        <v>43</v>
      </c>
      <c r="J185" s="1" t="s">
        <v>44</v>
      </c>
      <c r="K185" s="1" t="s">
        <v>45</v>
      </c>
      <c r="L185" s="21" t="s">
        <v>71</v>
      </c>
    </row>
    <row r="186" spans="4:12" ht="12.75">
      <c r="D186" s="1" t="s">
        <v>46</v>
      </c>
      <c r="E186" s="1" t="s">
        <v>72</v>
      </c>
      <c r="F186" s="1" t="s">
        <v>73</v>
      </c>
      <c r="G186" s="1" t="s">
        <v>48</v>
      </c>
      <c r="H186" s="1" t="s">
        <v>49</v>
      </c>
      <c r="J186" s="1" t="s">
        <v>50</v>
      </c>
      <c r="L186" s="1" t="s">
        <v>74</v>
      </c>
    </row>
    <row r="187" spans="1:7" ht="12.75">
      <c r="A187" s="3"/>
      <c r="B187" s="18"/>
      <c r="G187" s="1" t="s">
        <v>51</v>
      </c>
    </row>
    <row r="188" spans="1:12" ht="12.75">
      <c r="A188" s="19" t="s">
        <v>52</v>
      </c>
      <c r="B188" s="18">
        <v>1</v>
      </c>
      <c r="C188" s="4">
        <f aca="true" t="shared" si="24" ref="C188:C199">IF(B188=$G$21,-G$10,0)</f>
        <v>-1000</v>
      </c>
      <c r="D188" s="4">
        <f aca="true" t="shared" si="25" ref="D188:D199">IF(B188=$G$21,G$10*G$12,0)</f>
        <v>0</v>
      </c>
      <c r="E188" s="4">
        <f aca="true" t="shared" si="26" ref="E188:E199">IF(B188&lt;$G$21,0,IF(B188&lt;=G$16*G$17+$G$21-1,+(G$9*12/G$17),0))+IF(B188=G$21,G$10*G$11,0)</f>
        <v>26.059557752445375</v>
      </c>
      <c r="F188" s="4">
        <f aca="true" t="shared" si="27" ref="F188:F199">IF(B188&lt;G$21,0,(+G$9*G$16*G$17-G$10)/SUM(L$188:L$319)*L188)+IF(B188=G$21,G$10*G$11,0)</f>
        <v>18.78578217155743</v>
      </c>
      <c r="G188" s="4">
        <f>IF(B188&gt;G$16*G$17+G$21,0,(SUM(D$187)*((1+G$13/G$14)^((B188-G$21)/(12/G$14))-1))-SUM(G187))</f>
        <v>0</v>
      </c>
      <c r="J188" s="4">
        <f aca="true" t="shared" si="28" ref="J188:J219">C188+D188+E188</f>
        <v>-973.9404422475546</v>
      </c>
      <c r="K188" s="4">
        <f aca="true" t="shared" si="29" ref="K188:K195">C188+E188-I188+D188</f>
        <v>-973.9404422475546</v>
      </c>
      <c r="L188" s="4">
        <f>IF(B188&lt;G$21,0,SUM(E189:E$319))</f>
        <v>1537.5139073942785</v>
      </c>
    </row>
    <row r="189" spans="1:12" ht="12.75">
      <c r="A189" s="19" t="s">
        <v>53</v>
      </c>
      <c r="B189" s="18">
        <v>2</v>
      </c>
      <c r="C189" s="4">
        <f t="shared" si="24"/>
        <v>0</v>
      </c>
      <c r="D189" s="4">
        <f t="shared" si="25"/>
        <v>0</v>
      </c>
      <c r="E189" s="4">
        <f t="shared" si="26"/>
        <v>26.059557752445375</v>
      </c>
      <c r="F189" s="4">
        <f t="shared" si="27"/>
        <v>18.46737908390391</v>
      </c>
      <c r="G189" s="4">
        <f>IF(B189&gt;G$16*G$17+G$21,0,(SUM(D$187:D188)*((1+G$13/G$14)^((B189-G$21)/(12/G$14))-1))-SUM(G$187:G188))</f>
        <v>0</v>
      </c>
      <c r="J189" s="4">
        <f t="shared" si="28"/>
        <v>26.059557752445375</v>
      </c>
      <c r="K189" s="4">
        <f t="shared" si="29"/>
        <v>26.059557752445375</v>
      </c>
      <c r="L189" s="4">
        <f>IF(B189&lt;G$21,0,SUM(E190:E$319))</f>
        <v>1511.454349641833</v>
      </c>
    </row>
    <row r="190" spans="1:12" ht="12.75">
      <c r="A190" s="19" t="s">
        <v>54</v>
      </c>
      <c r="B190" s="18">
        <v>3</v>
      </c>
      <c r="C190" s="4">
        <f t="shared" si="24"/>
        <v>0</v>
      </c>
      <c r="D190" s="4">
        <f t="shared" si="25"/>
        <v>0</v>
      </c>
      <c r="E190" s="4">
        <f t="shared" si="26"/>
        <v>26.059557752445375</v>
      </c>
      <c r="F190" s="4">
        <f t="shared" si="27"/>
        <v>18.148975996250396</v>
      </c>
      <c r="G190" s="4">
        <f>IF(B190&gt;G$16*G$17+G$21,0,(SUM(D$187:D189)*((1+G$13/G$14)^((B190-G$21)/(12/G$14))-1))-SUM(G$187:G189))</f>
        <v>0</v>
      </c>
      <c r="I190" s="4">
        <f>H199*G$22*0.15</f>
        <v>10.731776069361743</v>
      </c>
      <c r="J190" s="4">
        <f t="shared" si="28"/>
        <v>26.059557752445375</v>
      </c>
      <c r="K190" s="4">
        <f t="shared" si="29"/>
        <v>15.327781683083632</v>
      </c>
      <c r="L190" s="4">
        <f>IF(B190&lt;G$21,0,SUM(E191:E$319))</f>
        <v>1485.3947918893875</v>
      </c>
    </row>
    <row r="191" spans="1:12" ht="12.75">
      <c r="A191" s="19" t="s">
        <v>55</v>
      </c>
      <c r="B191" s="18">
        <v>4</v>
      </c>
      <c r="C191" s="4">
        <f t="shared" si="24"/>
        <v>0</v>
      </c>
      <c r="D191" s="4">
        <f t="shared" si="25"/>
        <v>0</v>
      </c>
      <c r="E191" s="4">
        <f t="shared" si="26"/>
        <v>26.059557752445375</v>
      </c>
      <c r="F191" s="4">
        <f t="shared" si="27"/>
        <v>17.830572908596878</v>
      </c>
      <c r="G191" s="4">
        <f>IF(B191&gt;G$16*G$17+G$21,0,(SUM(D$187:D190)*((1+G$13/G$14)^((B191-G$21)/(12/G$14))-1))-SUM(G$187:G190))</f>
        <v>0</v>
      </c>
      <c r="J191" s="4">
        <f t="shared" si="28"/>
        <v>26.059557752445375</v>
      </c>
      <c r="K191" s="4">
        <f t="shared" si="29"/>
        <v>26.059557752445375</v>
      </c>
      <c r="L191" s="4">
        <f>IF(B191&lt;G$21,0,SUM(E192:E$319))</f>
        <v>1459.335234136942</v>
      </c>
    </row>
    <row r="192" spans="1:12" ht="12.75">
      <c r="A192" s="19" t="s">
        <v>56</v>
      </c>
      <c r="B192" s="18">
        <v>5</v>
      </c>
      <c r="C192" s="4">
        <f t="shared" si="24"/>
        <v>0</v>
      </c>
      <c r="D192" s="4">
        <f t="shared" si="25"/>
        <v>0</v>
      </c>
      <c r="E192" s="4">
        <f t="shared" si="26"/>
        <v>26.059557752445375</v>
      </c>
      <c r="F192" s="4">
        <f t="shared" si="27"/>
        <v>17.512169820943363</v>
      </c>
      <c r="G192" s="4">
        <f>IF(B192&gt;G$16*G$17+G$21,0,(SUM(D$187:D191)*((1+G$13/G$14)^((B192-G$21)/(12/G$14))-1))-SUM(G$187:G191))</f>
        <v>0</v>
      </c>
      <c r="J192" s="4">
        <f t="shared" si="28"/>
        <v>26.059557752445375</v>
      </c>
      <c r="K192" s="4">
        <f t="shared" si="29"/>
        <v>26.059557752445375</v>
      </c>
      <c r="L192" s="4">
        <f>IF(B192&lt;G$21,0,SUM(E193:E$319))</f>
        <v>1433.2756763844966</v>
      </c>
    </row>
    <row r="193" spans="1:12" ht="12.75">
      <c r="A193" s="19" t="s">
        <v>57</v>
      </c>
      <c r="B193" s="18">
        <v>6</v>
      </c>
      <c r="C193" s="4">
        <f t="shared" si="24"/>
        <v>0</v>
      </c>
      <c r="D193" s="4">
        <f t="shared" si="25"/>
        <v>0</v>
      </c>
      <c r="E193" s="4">
        <f t="shared" si="26"/>
        <v>26.059557752445375</v>
      </c>
      <c r="F193" s="4">
        <f t="shared" si="27"/>
        <v>17.193766733289845</v>
      </c>
      <c r="G193" s="4">
        <f>IF(B193&gt;G$16*G$17+G$21,0,(SUM(D$187:D192)*((1+G$13/G$14)^((B193-G$21)/(12/G$14))-1))-SUM(G$187:G192))</f>
        <v>0</v>
      </c>
      <c r="I193" s="4">
        <f>H199*$G$22*0.3</f>
        <v>21.463552138723486</v>
      </c>
      <c r="J193" s="4">
        <f t="shared" si="28"/>
        <v>26.059557752445375</v>
      </c>
      <c r="K193" s="4">
        <f t="shared" si="29"/>
        <v>4.596005613721889</v>
      </c>
      <c r="L193" s="4">
        <f>IF(B193&lt;G$21,0,SUM(E194:E$319))</f>
        <v>1407.2161186320511</v>
      </c>
    </row>
    <row r="194" spans="1:12" ht="12.75">
      <c r="A194" s="19" t="s">
        <v>58</v>
      </c>
      <c r="B194" s="18">
        <v>7</v>
      </c>
      <c r="C194" s="4">
        <f t="shared" si="24"/>
        <v>0</v>
      </c>
      <c r="D194" s="4">
        <f t="shared" si="25"/>
        <v>0</v>
      </c>
      <c r="E194" s="4">
        <f t="shared" si="26"/>
        <v>26.059557752445375</v>
      </c>
      <c r="F194" s="4">
        <f t="shared" si="27"/>
        <v>16.875363645636327</v>
      </c>
      <c r="G194" s="4">
        <f>IF(B194&gt;G$16*G$17+G$21,0,(SUM(D$187:D193)*((1+G$13/G$14)^((B194-G$21)/(12/G$14))-1))-SUM(G$187:G193))</f>
        <v>0</v>
      </c>
      <c r="J194" s="4">
        <f t="shared" si="28"/>
        <v>26.059557752445375</v>
      </c>
      <c r="K194" s="4">
        <f t="shared" si="29"/>
        <v>26.059557752445375</v>
      </c>
      <c r="L194" s="4">
        <f>IF(B194&lt;G$21,0,SUM(E195:E$319))</f>
        <v>1381.1565608796056</v>
      </c>
    </row>
    <row r="195" spans="1:12" ht="12.75">
      <c r="A195" s="19" t="s">
        <v>59</v>
      </c>
      <c r="B195" s="18">
        <v>8</v>
      </c>
      <c r="C195" s="4">
        <f t="shared" si="24"/>
        <v>0</v>
      </c>
      <c r="D195" s="4">
        <f t="shared" si="25"/>
        <v>0</v>
      </c>
      <c r="E195" s="4">
        <f t="shared" si="26"/>
        <v>26.059557752445375</v>
      </c>
      <c r="F195" s="4">
        <f t="shared" si="27"/>
        <v>16.556960557982812</v>
      </c>
      <c r="G195" s="4">
        <f>IF(B195&gt;G$16*G$17+G$21,0,(SUM(D$187:D194)*((1+G$13/G$14)^((B195-G$21)/(12/G$14))-1))-SUM(G$187:G194))</f>
        <v>0</v>
      </c>
      <c r="J195" s="4">
        <f t="shared" si="28"/>
        <v>26.059557752445375</v>
      </c>
      <c r="K195" s="4">
        <f t="shared" si="29"/>
        <v>26.059557752445375</v>
      </c>
      <c r="L195" s="4">
        <f>IF(B195&lt;G$21,0,SUM(E196:E$319))</f>
        <v>1355.0970031271602</v>
      </c>
    </row>
    <row r="196" spans="1:12" ht="12.75">
      <c r="A196" s="19" t="s">
        <v>60</v>
      </c>
      <c r="B196" s="18">
        <v>9</v>
      </c>
      <c r="C196" s="4">
        <f t="shared" si="24"/>
        <v>0</v>
      </c>
      <c r="D196" s="4">
        <f t="shared" si="25"/>
        <v>0</v>
      </c>
      <c r="E196" s="4">
        <f t="shared" si="26"/>
        <v>26.059557752445375</v>
      </c>
      <c r="F196" s="4">
        <f t="shared" si="27"/>
        <v>16.238557470329294</v>
      </c>
      <c r="G196" s="4">
        <f>IF(B196&gt;G$16*G$17+G$21,0,(SUM(D$187:D195)*((1+G$13/G$14)^((B196-G$21)/(12/G$14))-1))-SUM(G$187:G195))</f>
        <v>0</v>
      </c>
      <c r="I196" s="4">
        <f>H199*$G$22*0.3</f>
        <v>21.463552138723486</v>
      </c>
      <c r="J196" s="4">
        <f t="shared" si="28"/>
        <v>26.059557752445375</v>
      </c>
      <c r="K196" s="4">
        <f>C196+E196-I193+D196</f>
        <v>4.596005613721889</v>
      </c>
      <c r="L196" s="4">
        <f>IF(B196&lt;G$21,0,SUM(E197:E$319))</f>
        <v>1329.0374453747147</v>
      </c>
    </row>
    <row r="197" spans="1:12" ht="12.75">
      <c r="A197" s="19" t="s">
        <v>61</v>
      </c>
      <c r="B197" s="18">
        <v>10</v>
      </c>
      <c r="C197" s="4">
        <f t="shared" si="24"/>
        <v>0</v>
      </c>
      <c r="D197" s="4">
        <f t="shared" si="25"/>
        <v>0</v>
      </c>
      <c r="E197" s="4">
        <f t="shared" si="26"/>
        <v>26.059557752445375</v>
      </c>
      <c r="F197" s="4">
        <f t="shared" si="27"/>
        <v>15.92015438267578</v>
      </c>
      <c r="G197" s="4">
        <f>IF(B197&gt;G$16*G$17+G$21,0,(SUM(D$187:D196)*((1+G$13/G$14)^((B197-G$21)/(12/G$14))-1))-SUM(G$187:G196))</f>
        <v>0</v>
      </c>
      <c r="J197" s="4">
        <f t="shared" si="28"/>
        <v>26.059557752445375</v>
      </c>
      <c r="K197" s="4">
        <f aca="true" t="shared" si="30" ref="K197:K228">C197+E197-I197+D197</f>
        <v>26.059557752445375</v>
      </c>
      <c r="L197" s="4">
        <f>IF(B197&lt;G$21,0,SUM(E198:E$319))</f>
        <v>1302.9778876222692</v>
      </c>
    </row>
    <row r="198" spans="1:12" ht="12.75">
      <c r="A198" s="19" t="s">
        <v>62</v>
      </c>
      <c r="B198" s="18">
        <v>11</v>
      </c>
      <c r="C198" s="4">
        <f t="shared" si="24"/>
        <v>0</v>
      </c>
      <c r="D198" s="4">
        <f t="shared" si="25"/>
        <v>0</v>
      </c>
      <c r="E198" s="4">
        <f t="shared" si="26"/>
        <v>26.059557752445375</v>
      </c>
      <c r="F198" s="4">
        <f t="shared" si="27"/>
        <v>15.601751295022263</v>
      </c>
      <c r="G198" s="4">
        <f>IF(B198&gt;G$16*G$17+G$21,0,(SUM(D$187:D197)*((1+G$13/G$14)^((B198-G$21)/(12/G$14))-1))-SUM(G$187:G197))</f>
        <v>0</v>
      </c>
      <c r="J198" s="4">
        <f t="shared" si="28"/>
        <v>26.059557752445375</v>
      </c>
      <c r="K198" s="4">
        <f t="shared" si="30"/>
        <v>26.059557752445375</v>
      </c>
      <c r="L198" s="4">
        <f>IF(B198&lt;G$21,0,SUM(E199:E$319))</f>
        <v>1276.9183298698238</v>
      </c>
    </row>
    <row r="199" spans="1:12" ht="12.75">
      <c r="A199" s="19" t="s">
        <v>63</v>
      </c>
      <c r="B199" s="18">
        <v>12</v>
      </c>
      <c r="C199" s="4">
        <f t="shared" si="24"/>
        <v>0</v>
      </c>
      <c r="D199" s="4">
        <f t="shared" si="25"/>
        <v>0</v>
      </c>
      <c r="E199" s="4">
        <f t="shared" si="26"/>
        <v>26.059557752445375</v>
      </c>
      <c r="F199" s="4">
        <f t="shared" si="27"/>
        <v>15.283348207368745</v>
      </c>
      <c r="G199" s="4">
        <f>IF(B199&gt;G$16*G$17+G$21,0,(SUM(D$187:D198)*((1+G$13/G$14)^((B199-G$21)/(12/G$14))-1))-SUM(G$187:G198))</f>
        <v>0</v>
      </c>
      <c r="H199" s="4">
        <f>SUM(F188:F199)-SUM(G188:G199)</f>
        <v>204.41478227355702</v>
      </c>
      <c r="I199" s="4">
        <f>H199*$G$22*0.25</f>
        <v>17.88629344893624</v>
      </c>
      <c r="J199" s="4">
        <f t="shared" si="28"/>
        <v>26.059557752445375</v>
      </c>
      <c r="K199" s="4">
        <f t="shared" si="30"/>
        <v>8.173264303509136</v>
      </c>
      <c r="L199" s="4">
        <f>IF(B199&lt;G$21,0,SUM(E200:E$319))</f>
        <v>1250.8587721173783</v>
      </c>
    </row>
    <row r="200" spans="1:12" ht="12.75">
      <c r="A200" s="19" t="s">
        <v>52</v>
      </c>
      <c r="B200" s="18">
        <v>13</v>
      </c>
      <c r="D200" s="4">
        <f aca="true" t="shared" si="31" ref="D200:D231">IF(B200=$G$16*G$17+G$21,-G$10*G$12*((1+G$13/G$14)^(G$16*G$14)),0)</f>
        <v>0</v>
      </c>
      <c r="E200" s="4">
        <f aca="true" t="shared" si="32" ref="E200:E231">IF(B200&lt;$G$21,0,IF(B200&lt;=G$16*G$17+$G$21-1,+(G$9*12/G$17),0))</f>
        <v>26.059557752445375</v>
      </c>
      <c r="F200" s="4">
        <f aca="true" t="shared" si="33" ref="F200:F231">IF(B200&lt;G$21,0,(+G$9*G$16*G$17-G$10)/SUM(L$188:L$319)*L200)</f>
        <v>14.964945119715228</v>
      </c>
      <c r="G200" s="4">
        <f>IF(B200&gt;G$16*G$17+G$21,0,(SUM(D$187:D199)*((1+G$13/G$14)^((B200-G$21)/(12/G$14))-1))-SUM(G$187:G199))</f>
        <v>0</v>
      </c>
      <c r="J200" s="4">
        <f t="shared" si="28"/>
        <v>26.059557752445375</v>
      </c>
      <c r="K200" s="4">
        <f t="shared" si="30"/>
        <v>26.059557752445375</v>
      </c>
      <c r="L200" s="4">
        <f>IF(B200&lt;G$21,0,SUM(E201:E$319))</f>
        <v>1224.7992143649328</v>
      </c>
    </row>
    <row r="201" spans="1:12" ht="12.75">
      <c r="A201" s="19" t="s">
        <v>53</v>
      </c>
      <c r="B201" s="18">
        <v>14</v>
      </c>
      <c r="D201" s="4">
        <f t="shared" si="31"/>
        <v>0</v>
      </c>
      <c r="E201" s="4">
        <f t="shared" si="32"/>
        <v>26.059557752445375</v>
      </c>
      <c r="F201" s="4">
        <f t="shared" si="33"/>
        <v>14.646542032061712</v>
      </c>
      <c r="G201" s="4">
        <f>IF(B201&gt;G$16*G$17+G$21,0,(SUM(D$187:D200)*((1+G$13/G$14)^((B201-G$21)/(12/G$14))-1))-SUM(G$187:G200))</f>
        <v>0</v>
      </c>
      <c r="J201" s="4">
        <f t="shared" si="28"/>
        <v>26.059557752445375</v>
      </c>
      <c r="K201" s="4">
        <f t="shared" si="30"/>
        <v>26.059557752445375</v>
      </c>
      <c r="L201" s="4">
        <f>IF(B201&lt;G$21,0,SUM(E202:E$319))</f>
        <v>1198.7396566124874</v>
      </c>
    </row>
    <row r="202" spans="1:12" ht="12.75">
      <c r="A202" s="19" t="s">
        <v>54</v>
      </c>
      <c r="B202" s="18">
        <v>15</v>
      </c>
      <c r="D202" s="4">
        <f t="shared" si="31"/>
        <v>0</v>
      </c>
      <c r="E202" s="4">
        <f t="shared" si="32"/>
        <v>26.059557752445375</v>
      </c>
      <c r="F202" s="4">
        <f t="shared" si="33"/>
        <v>14.328138944408195</v>
      </c>
      <c r="G202" s="4">
        <f>IF(B202&gt;G$16*G$17+G$21,0,(SUM(D$187:D201)*((1+G$13/G$14)^((B202-G$21)/(12/G$14))-1))-SUM(G$187:G201))</f>
        <v>0</v>
      </c>
      <c r="I202" s="4">
        <f>H211*G$22*0.15</f>
        <v>8.324648726701158</v>
      </c>
      <c r="J202" s="4">
        <f t="shared" si="28"/>
        <v>26.059557752445375</v>
      </c>
      <c r="K202" s="4">
        <f t="shared" si="30"/>
        <v>17.734909025744216</v>
      </c>
      <c r="L202" s="4">
        <f>IF(B202&lt;G$21,0,SUM(E203:E$319))</f>
        <v>1172.6800988600419</v>
      </c>
    </row>
    <row r="203" spans="1:12" ht="12.75">
      <c r="A203" s="19" t="s">
        <v>55</v>
      </c>
      <c r="B203" s="18">
        <v>16</v>
      </c>
      <c r="D203" s="4">
        <f t="shared" si="31"/>
        <v>0</v>
      </c>
      <c r="E203" s="4">
        <f t="shared" si="32"/>
        <v>26.059557752445375</v>
      </c>
      <c r="F203" s="4">
        <f t="shared" si="33"/>
        <v>14.009735856754679</v>
      </c>
      <c r="G203" s="4">
        <f>IF(B203&gt;G$16*G$17+G$21,0,(SUM(D$187:D202)*((1+G$13/G$14)^((B203-G$21)/(12/G$14))-1))-SUM(G$187:G202))</f>
        <v>0</v>
      </c>
      <c r="J203" s="4">
        <f t="shared" si="28"/>
        <v>26.059557752445375</v>
      </c>
      <c r="K203" s="4">
        <f t="shared" si="30"/>
        <v>26.059557752445375</v>
      </c>
      <c r="L203" s="4">
        <f>IF(B203&lt;G$21,0,SUM(E204:E$319))</f>
        <v>1146.6205411075964</v>
      </c>
    </row>
    <row r="204" spans="1:12" ht="12.75">
      <c r="A204" s="19" t="s">
        <v>56</v>
      </c>
      <c r="B204" s="18">
        <v>17</v>
      </c>
      <c r="D204" s="4">
        <f t="shared" si="31"/>
        <v>0</v>
      </c>
      <c r="E204" s="4">
        <f t="shared" si="32"/>
        <v>26.059557752445375</v>
      </c>
      <c r="F204" s="4">
        <f t="shared" si="33"/>
        <v>13.691332769101162</v>
      </c>
      <c r="G204" s="4">
        <f>IF(B204&gt;G$16*G$17+G$21,0,(SUM(D$187:D203)*((1+G$13/G$14)^((B204-G$21)/(12/G$14))-1))-SUM(G$187:G203))</f>
        <v>0</v>
      </c>
      <c r="J204" s="4">
        <f t="shared" si="28"/>
        <v>26.059557752445375</v>
      </c>
      <c r="K204" s="4">
        <f t="shared" si="30"/>
        <v>26.059557752445375</v>
      </c>
      <c r="L204" s="4">
        <f>IF(B204&lt;G$21,0,SUM(E205:E$319))</f>
        <v>1120.560983355151</v>
      </c>
    </row>
    <row r="205" spans="1:12" ht="12.75">
      <c r="A205" s="19" t="s">
        <v>57</v>
      </c>
      <c r="B205" s="18">
        <v>18</v>
      </c>
      <c r="D205" s="4">
        <f t="shared" si="31"/>
        <v>0</v>
      </c>
      <c r="E205" s="4">
        <f t="shared" si="32"/>
        <v>26.059557752445375</v>
      </c>
      <c r="F205" s="4">
        <f t="shared" si="33"/>
        <v>13.372929681447646</v>
      </c>
      <c r="G205" s="4">
        <f>IF(B205&gt;G$16*G$17+G$21,0,(SUM(D$187:D204)*((1+G$13/G$14)^((B205-G$21)/(12/G$14))-1))-SUM(G$187:G204))</f>
        <v>0</v>
      </c>
      <c r="I205" s="4">
        <f>H211*$G$22*0.3</f>
        <v>16.649297453402315</v>
      </c>
      <c r="J205" s="4">
        <f t="shared" si="28"/>
        <v>26.059557752445375</v>
      </c>
      <c r="K205" s="4">
        <f t="shared" si="30"/>
        <v>9.41026029904306</v>
      </c>
      <c r="L205" s="4">
        <f>IF(B205&lt;G$21,0,SUM(E206:E$319))</f>
        <v>1094.5014256027055</v>
      </c>
    </row>
    <row r="206" spans="1:12" ht="12.75">
      <c r="A206" s="19" t="s">
        <v>58</v>
      </c>
      <c r="B206" s="18">
        <v>19</v>
      </c>
      <c r="D206" s="4">
        <f t="shared" si="31"/>
        <v>0</v>
      </c>
      <c r="E206" s="4">
        <f t="shared" si="32"/>
        <v>26.059557752445375</v>
      </c>
      <c r="F206" s="4">
        <f t="shared" si="33"/>
        <v>13.05452659379413</v>
      </c>
      <c r="G206" s="4">
        <f>IF(B206&gt;G$16*G$17+G$21,0,(SUM(D$187:D205)*((1+G$13/G$14)^((B206-G$21)/(12/G$14))-1))-SUM(G$187:G205))</f>
        <v>0</v>
      </c>
      <c r="J206" s="4">
        <f t="shared" si="28"/>
        <v>26.059557752445375</v>
      </c>
      <c r="K206" s="4">
        <f t="shared" si="30"/>
        <v>26.059557752445375</v>
      </c>
      <c r="L206" s="4">
        <f>IF(B206&lt;G$21,0,SUM(E207:E$319))</f>
        <v>1068.44186785026</v>
      </c>
    </row>
    <row r="207" spans="1:12" ht="12.75">
      <c r="A207" s="19" t="s">
        <v>59</v>
      </c>
      <c r="B207" s="18">
        <v>20</v>
      </c>
      <c r="D207" s="4">
        <f t="shared" si="31"/>
        <v>0</v>
      </c>
      <c r="E207" s="4">
        <f t="shared" si="32"/>
        <v>26.059557752445375</v>
      </c>
      <c r="F207" s="4">
        <f t="shared" si="33"/>
        <v>12.736123506140613</v>
      </c>
      <c r="G207" s="4">
        <f>IF(B207&gt;G$16*G$17+G$21,0,(SUM(D$187:D206)*((1+G$13/G$14)^((B207-G$21)/(12/G$14))-1))-SUM(G$187:G206))</f>
        <v>0</v>
      </c>
      <c r="J207" s="4">
        <f t="shared" si="28"/>
        <v>26.059557752445375</v>
      </c>
      <c r="K207" s="4">
        <f t="shared" si="30"/>
        <v>26.059557752445375</v>
      </c>
      <c r="L207" s="4">
        <f>IF(B207&lt;G$21,0,SUM(E208:E$319))</f>
        <v>1042.3823100978145</v>
      </c>
    </row>
    <row r="208" spans="1:12" ht="12.75">
      <c r="A208" s="19" t="s">
        <v>60</v>
      </c>
      <c r="B208" s="18">
        <v>21</v>
      </c>
      <c r="D208" s="4">
        <f t="shared" si="31"/>
        <v>0</v>
      </c>
      <c r="E208" s="4">
        <f t="shared" si="32"/>
        <v>26.059557752445375</v>
      </c>
      <c r="F208" s="4">
        <f t="shared" si="33"/>
        <v>12.417720418487097</v>
      </c>
      <c r="G208" s="4">
        <f>IF(B208&gt;G$16*G$17+G$21,0,(SUM(D$187:D207)*((1+G$13/G$14)^((B208-G$21)/(12/G$14))-1))-SUM(G$187:G207))</f>
        <v>0</v>
      </c>
      <c r="I208" s="4">
        <f>H211*$G$22*0.3</f>
        <v>16.649297453402315</v>
      </c>
      <c r="J208" s="4">
        <f t="shared" si="28"/>
        <v>26.059557752445375</v>
      </c>
      <c r="K208" s="4">
        <f t="shared" si="30"/>
        <v>9.41026029904306</v>
      </c>
      <c r="L208" s="4">
        <f>IF(B208&lt;G$21,0,SUM(E209:E$319))</f>
        <v>1016.3227523453692</v>
      </c>
    </row>
    <row r="209" spans="1:12" ht="12.75">
      <c r="A209" s="19" t="s">
        <v>61</v>
      </c>
      <c r="B209" s="18">
        <v>22</v>
      </c>
      <c r="D209" s="4">
        <f t="shared" si="31"/>
        <v>0</v>
      </c>
      <c r="E209" s="4">
        <f t="shared" si="32"/>
        <v>26.059557752445375</v>
      </c>
      <c r="F209" s="4">
        <f t="shared" si="33"/>
        <v>12.099317330833582</v>
      </c>
      <c r="G209" s="4">
        <f>IF(B209&gt;G$16*G$17+G$21,0,(SUM(D$187:D208)*((1+G$13/G$14)^((B209-G$21)/(12/G$14))-1))-SUM(G$187:G208))</f>
        <v>0</v>
      </c>
      <c r="J209" s="4">
        <f t="shared" si="28"/>
        <v>26.059557752445375</v>
      </c>
      <c r="K209" s="4">
        <f t="shared" si="30"/>
        <v>26.059557752445375</v>
      </c>
      <c r="L209" s="4">
        <f>IF(B209&lt;G$21,0,SUM(E210:E$319))</f>
        <v>990.2631945929238</v>
      </c>
    </row>
    <row r="210" spans="1:12" ht="12.75">
      <c r="A210" s="19" t="s">
        <v>62</v>
      </c>
      <c r="B210" s="18">
        <v>23</v>
      </c>
      <c r="D210" s="4">
        <f t="shared" si="31"/>
        <v>0</v>
      </c>
      <c r="E210" s="4">
        <f t="shared" si="32"/>
        <v>26.059557752445375</v>
      </c>
      <c r="F210" s="4">
        <f t="shared" si="33"/>
        <v>11.780914243180067</v>
      </c>
      <c r="G210" s="4">
        <f>IF(B210&gt;G$16*G$17+G$21,0,(SUM(D$187:D209)*((1+G$13/G$14)^((B210-G$21)/(12/G$14))-1))-SUM(G$187:G209))</f>
        <v>0</v>
      </c>
      <c r="J210" s="4">
        <f t="shared" si="28"/>
        <v>26.059557752445375</v>
      </c>
      <c r="K210" s="4">
        <f t="shared" si="30"/>
        <v>26.059557752445375</v>
      </c>
      <c r="L210" s="4">
        <f>IF(B210&lt;G$21,0,SUM(E211:E$319))</f>
        <v>964.2036368404785</v>
      </c>
    </row>
    <row r="211" spans="1:12" ht="12.75">
      <c r="A211" s="19" t="s">
        <v>63</v>
      </c>
      <c r="B211" s="18">
        <v>24</v>
      </c>
      <c r="D211" s="4">
        <f t="shared" si="31"/>
        <v>0</v>
      </c>
      <c r="E211" s="4">
        <f t="shared" si="32"/>
        <v>26.059557752445375</v>
      </c>
      <c r="F211" s="4">
        <f t="shared" si="33"/>
        <v>11.46251115552655</v>
      </c>
      <c r="G211" s="4">
        <f>IF(B211&gt;G$16*G$17+G$21,0,(SUM(D$187:D210)*((1+G$13/G$14)^((B211-G$21)/(12/G$14))-1))-SUM(G$187:G210))</f>
        <v>0</v>
      </c>
      <c r="H211" s="4">
        <f>SUM(F200:F211)-SUM(G200:G211)</f>
        <v>158.56473765145066</v>
      </c>
      <c r="I211" s="4">
        <f>H211*$G$22*0.25</f>
        <v>13.874414544501931</v>
      </c>
      <c r="J211" s="4">
        <f t="shared" si="28"/>
        <v>26.059557752445375</v>
      </c>
      <c r="K211" s="4">
        <f t="shared" si="30"/>
        <v>12.185143207943444</v>
      </c>
      <c r="L211" s="4">
        <f>IF(B211&lt;G$21,0,SUM(E212:E$319))</f>
        <v>938.1440790880331</v>
      </c>
    </row>
    <row r="212" spans="1:12" ht="12.75">
      <c r="A212" s="19" t="s">
        <v>52</v>
      </c>
      <c r="B212" s="18">
        <v>25</v>
      </c>
      <c r="D212" s="4">
        <f t="shared" si="31"/>
        <v>0</v>
      </c>
      <c r="E212" s="4">
        <f t="shared" si="32"/>
        <v>26.059557752445375</v>
      </c>
      <c r="F212" s="4">
        <f t="shared" si="33"/>
        <v>11.144108067873036</v>
      </c>
      <c r="G212" s="4">
        <f>IF(B212&gt;G$16*G$17+G$21,0,(SUM(D$187:D211)*((1+G$13/G$14)^((B212-G$21)/(12/G$14))-1))-SUM(G$187:G211))</f>
        <v>0</v>
      </c>
      <c r="J212" s="4">
        <f t="shared" si="28"/>
        <v>26.059557752445375</v>
      </c>
      <c r="K212" s="4">
        <f t="shared" si="30"/>
        <v>26.059557752445375</v>
      </c>
      <c r="L212" s="4">
        <f>IF(B212&lt;G$21,0,SUM(E213:E$319))</f>
        <v>912.0845213355877</v>
      </c>
    </row>
    <row r="213" spans="1:12" ht="12.75">
      <c r="A213" s="19" t="s">
        <v>53</v>
      </c>
      <c r="B213" s="18">
        <v>26</v>
      </c>
      <c r="D213" s="4">
        <f t="shared" si="31"/>
        <v>0</v>
      </c>
      <c r="E213" s="4">
        <f t="shared" si="32"/>
        <v>26.059557752445375</v>
      </c>
      <c r="F213" s="4">
        <f t="shared" si="33"/>
        <v>10.825704980219522</v>
      </c>
      <c r="G213" s="4">
        <f>IF(B213&gt;G$16*G$17+G$21,0,(SUM(D$187:D212)*((1+G$13/G$14)^((B213-G$21)/(12/G$14))-1))-SUM(G$187:G212))</f>
        <v>0</v>
      </c>
      <c r="J213" s="4">
        <f t="shared" si="28"/>
        <v>26.059557752445375</v>
      </c>
      <c r="K213" s="4">
        <f t="shared" si="30"/>
        <v>26.059557752445375</v>
      </c>
      <c r="L213" s="4">
        <f>IF(B213&lt;G$21,0,SUM(E214:E$319))</f>
        <v>886.0249635831424</v>
      </c>
    </row>
    <row r="214" spans="1:12" ht="12.75">
      <c r="A214" s="19" t="s">
        <v>54</v>
      </c>
      <c r="B214" s="18">
        <v>27</v>
      </c>
      <c r="D214" s="4">
        <f t="shared" si="31"/>
        <v>0</v>
      </c>
      <c r="E214" s="4">
        <f t="shared" si="32"/>
        <v>26.059557752445375</v>
      </c>
      <c r="F214" s="4">
        <f t="shared" si="33"/>
        <v>10.507301892566005</v>
      </c>
      <c r="G214" s="4">
        <f>IF(B214&gt;G$16*G$17+G$21,0,(SUM(D$187:D213)*((1+G$13/G$14)^((B214-G$21)/(12/G$14))-1))-SUM(G$187:G213))</f>
        <v>0</v>
      </c>
      <c r="I214" s="4">
        <f>H223*G$22*0.15</f>
        <v>5.917521384040582</v>
      </c>
      <c r="J214" s="4">
        <f t="shared" si="28"/>
        <v>26.059557752445375</v>
      </c>
      <c r="K214" s="4">
        <f t="shared" si="30"/>
        <v>20.142036368404792</v>
      </c>
      <c r="L214" s="4">
        <f>IF(B214&lt;G$21,0,SUM(E215:E$319))</f>
        <v>859.965405830697</v>
      </c>
    </row>
    <row r="215" spans="1:12" ht="12.75">
      <c r="A215" s="19" t="s">
        <v>55</v>
      </c>
      <c r="B215" s="18">
        <v>28</v>
      </c>
      <c r="D215" s="4">
        <f t="shared" si="31"/>
        <v>0</v>
      </c>
      <c r="E215" s="4">
        <f t="shared" si="32"/>
        <v>26.059557752445375</v>
      </c>
      <c r="F215" s="4">
        <f t="shared" si="33"/>
        <v>10.18889880491249</v>
      </c>
      <c r="G215" s="4">
        <f>IF(B215&gt;G$16*G$17+G$21,0,(SUM(D$187:D214)*((1+G$13/G$14)^((B215-G$21)/(12/G$14))-1))-SUM(G$187:G214))</f>
        <v>0</v>
      </c>
      <c r="J215" s="4">
        <f t="shared" si="28"/>
        <v>26.059557752445375</v>
      </c>
      <c r="K215" s="4">
        <f t="shared" si="30"/>
        <v>26.059557752445375</v>
      </c>
      <c r="L215" s="4">
        <f>IF(B215&lt;G$21,0,SUM(E216:E$319))</f>
        <v>833.9058480782517</v>
      </c>
    </row>
    <row r="216" spans="1:12" ht="12.75">
      <c r="A216" s="19" t="s">
        <v>56</v>
      </c>
      <c r="B216" s="18">
        <v>29</v>
      </c>
      <c r="D216" s="4">
        <f t="shared" si="31"/>
        <v>0</v>
      </c>
      <c r="E216" s="4">
        <f t="shared" si="32"/>
        <v>26.059557752445375</v>
      </c>
      <c r="F216" s="4">
        <f t="shared" si="33"/>
        <v>9.870495717258976</v>
      </c>
      <c r="G216" s="4">
        <f>IF(B216&gt;G$16*G$17+G$21,0,(SUM(D$187:D215)*((1+G$13/G$14)^((B216-G$21)/(12/G$14))-1))-SUM(G$187:G215))</f>
        <v>0</v>
      </c>
      <c r="J216" s="4">
        <f t="shared" si="28"/>
        <v>26.059557752445375</v>
      </c>
      <c r="K216" s="4">
        <f t="shared" si="30"/>
        <v>26.059557752445375</v>
      </c>
      <c r="L216" s="4">
        <f>IF(B216&lt;G$21,0,SUM(E217:E$319))</f>
        <v>807.8462903258063</v>
      </c>
    </row>
    <row r="217" spans="1:12" ht="12.75">
      <c r="A217" s="19" t="s">
        <v>57</v>
      </c>
      <c r="B217" s="18">
        <v>30</v>
      </c>
      <c r="D217" s="4">
        <f t="shared" si="31"/>
        <v>0</v>
      </c>
      <c r="E217" s="4">
        <f t="shared" si="32"/>
        <v>26.059557752445375</v>
      </c>
      <c r="F217" s="4">
        <f t="shared" si="33"/>
        <v>9.55209262960546</v>
      </c>
      <c r="G217" s="4">
        <f>IF(B217&gt;G$16*G$17+G$21,0,(SUM(D$187:D216)*((1+G$13/G$14)^((B217-G$21)/(12/G$14))-1))-SUM(G$187:G216))</f>
        <v>0</v>
      </c>
      <c r="I217" s="4">
        <f>H223*$G$22*0.3</f>
        <v>11.835042768081165</v>
      </c>
      <c r="J217" s="4">
        <f t="shared" si="28"/>
        <v>26.059557752445375</v>
      </c>
      <c r="K217" s="4">
        <f t="shared" si="30"/>
        <v>14.22451498436421</v>
      </c>
      <c r="L217" s="4">
        <f>IF(B217&lt;G$21,0,SUM(E218:E$319))</f>
        <v>781.786732573361</v>
      </c>
    </row>
    <row r="218" spans="1:12" ht="12.75">
      <c r="A218" s="19" t="s">
        <v>58</v>
      </c>
      <c r="B218" s="18">
        <v>31</v>
      </c>
      <c r="D218" s="4">
        <f t="shared" si="31"/>
        <v>0</v>
      </c>
      <c r="E218" s="4">
        <f t="shared" si="32"/>
        <v>26.059557752445375</v>
      </c>
      <c r="F218" s="4">
        <f t="shared" si="33"/>
        <v>9.233689541951945</v>
      </c>
      <c r="G218" s="4">
        <f>IF(B218&gt;G$16*G$17+G$21,0,(SUM(D$187:D217)*((1+G$13/G$14)^((B218-G$21)/(12/G$14))-1))-SUM(G$187:G217))</f>
        <v>0</v>
      </c>
      <c r="J218" s="4">
        <f t="shared" si="28"/>
        <v>26.059557752445375</v>
      </c>
      <c r="K218" s="4">
        <f t="shared" si="30"/>
        <v>26.059557752445375</v>
      </c>
      <c r="L218" s="4">
        <f>IF(B218&lt;G$21,0,SUM(E219:E$319))</f>
        <v>755.7271748209156</v>
      </c>
    </row>
    <row r="219" spans="1:12" ht="12.75">
      <c r="A219" s="19" t="s">
        <v>59</v>
      </c>
      <c r="B219" s="18">
        <v>32</v>
      </c>
      <c r="D219" s="4">
        <f t="shared" si="31"/>
        <v>0</v>
      </c>
      <c r="E219" s="4">
        <f t="shared" si="32"/>
        <v>26.059557752445375</v>
      </c>
      <c r="F219" s="4">
        <f t="shared" si="33"/>
        <v>8.91528645429843</v>
      </c>
      <c r="G219" s="4">
        <f>IF(B219&gt;G$16*G$17+G$21,0,(SUM(D$187:D218)*((1+G$13/G$14)^((B219-G$21)/(12/G$14))-1))-SUM(G$187:G218))</f>
        <v>0</v>
      </c>
      <c r="J219" s="4">
        <f t="shared" si="28"/>
        <v>26.059557752445375</v>
      </c>
      <c r="K219" s="4">
        <f t="shared" si="30"/>
        <v>26.059557752445375</v>
      </c>
      <c r="L219" s="4">
        <f>IF(B219&lt;G$21,0,SUM(E220:E$319))</f>
        <v>729.6676170684702</v>
      </c>
    </row>
    <row r="220" spans="1:12" ht="12.75">
      <c r="A220" s="19" t="s">
        <v>60</v>
      </c>
      <c r="B220" s="18">
        <v>33</v>
      </c>
      <c r="D220" s="4">
        <f t="shared" si="31"/>
        <v>0</v>
      </c>
      <c r="E220" s="4">
        <f t="shared" si="32"/>
        <v>26.059557752445375</v>
      </c>
      <c r="F220" s="4">
        <f t="shared" si="33"/>
        <v>8.596883366644914</v>
      </c>
      <c r="G220" s="4">
        <f>IF(B220&gt;G$16*G$17+G$21,0,(SUM(D$187:D219)*((1+G$13/G$14)^((B220-G$21)/(12/G$14))-1))-SUM(G$187:G219))</f>
        <v>0</v>
      </c>
      <c r="I220" s="4">
        <f>H223*$G$22*0.3</f>
        <v>11.835042768081165</v>
      </c>
      <c r="J220" s="4">
        <f aca="true" t="shared" si="34" ref="J220:J251">C220+D220+E220</f>
        <v>26.059557752445375</v>
      </c>
      <c r="K220" s="4">
        <f t="shared" si="30"/>
        <v>14.22451498436421</v>
      </c>
      <c r="L220" s="4">
        <f>IF(B220&lt;G$21,0,SUM(E221:E$319))</f>
        <v>703.6080593160249</v>
      </c>
    </row>
    <row r="221" spans="1:12" ht="12.75">
      <c r="A221" s="19" t="s">
        <v>61</v>
      </c>
      <c r="B221" s="18">
        <v>34</v>
      </c>
      <c r="D221" s="4">
        <f t="shared" si="31"/>
        <v>0</v>
      </c>
      <c r="E221" s="4">
        <f t="shared" si="32"/>
        <v>26.059557752445375</v>
      </c>
      <c r="F221" s="4">
        <f t="shared" si="33"/>
        <v>8.278480278991399</v>
      </c>
      <c r="G221" s="4">
        <f>IF(B221&gt;G$16*G$17+G$21,0,(SUM(D$187:D220)*((1+G$13/G$14)^((B221-G$21)/(12/G$14))-1))-SUM(G$187:G220))</f>
        <v>0</v>
      </c>
      <c r="J221" s="4">
        <f t="shared" si="34"/>
        <v>26.059557752445375</v>
      </c>
      <c r="K221" s="4">
        <f t="shared" si="30"/>
        <v>26.059557752445375</v>
      </c>
      <c r="L221" s="4">
        <f>IF(B221&lt;G$21,0,SUM(E222:E$319))</f>
        <v>677.5485015635795</v>
      </c>
    </row>
    <row r="222" spans="1:12" ht="12.75">
      <c r="A222" s="19" t="s">
        <v>62</v>
      </c>
      <c r="B222" s="18">
        <v>35</v>
      </c>
      <c r="D222" s="4">
        <f t="shared" si="31"/>
        <v>0</v>
      </c>
      <c r="E222" s="4">
        <f t="shared" si="32"/>
        <v>26.059557752445375</v>
      </c>
      <c r="F222" s="4">
        <f t="shared" si="33"/>
        <v>7.960077191337883</v>
      </c>
      <c r="G222" s="4">
        <f>IF(B222&gt;G$16*G$17+G$21,0,(SUM(D$187:D221)*((1+G$13/G$14)^((B222-G$21)/(12/G$14))-1))-SUM(G$187:G221))</f>
        <v>0</v>
      </c>
      <c r="J222" s="4">
        <f t="shared" si="34"/>
        <v>26.059557752445375</v>
      </c>
      <c r="K222" s="4">
        <f t="shared" si="30"/>
        <v>26.059557752445375</v>
      </c>
      <c r="L222" s="4">
        <f>IF(B222&lt;G$21,0,SUM(E223:E$319))</f>
        <v>651.4889438111342</v>
      </c>
    </row>
    <row r="223" spans="1:12" ht="12.75">
      <c r="A223" s="19" t="s">
        <v>63</v>
      </c>
      <c r="B223" s="18">
        <v>36</v>
      </c>
      <c r="D223" s="4">
        <f t="shared" si="31"/>
        <v>0</v>
      </c>
      <c r="E223" s="4">
        <f t="shared" si="32"/>
        <v>26.059557752445375</v>
      </c>
      <c r="F223" s="4">
        <f t="shared" si="33"/>
        <v>7.641674103684369</v>
      </c>
      <c r="G223" s="4">
        <f>IF(B223&gt;G$16*G$17+G$21,0,(SUM(D$187:D222)*((1+G$13/G$14)^((B223-G$21)/(12/G$14))-1))-SUM(G$187:G222))</f>
        <v>0</v>
      </c>
      <c r="H223" s="4">
        <f>SUM(F212:F223)-SUM(G212:G223)</f>
        <v>112.71469302934443</v>
      </c>
      <c r="I223" s="4">
        <f>H223*$G$22*0.25</f>
        <v>9.862535640067637</v>
      </c>
      <c r="J223" s="4">
        <f t="shared" si="34"/>
        <v>26.059557752445375</v>
      </c>
      <c r="K223" s="4">
        <f t="shared" si="30"/>
        <v>16.197022112377738</v>
      </c>
      <c r="L223" s="4">
        <f>IF(B223&lt;G$21,0,SUM(E224:E$319))</f>
        <v>625.4293860586888</v>
      </c>
    </row>
    <row r="224" spans="1:12" ht="12.75">
      <c r="A224" s="19" t="s">
        <v>52</v>
      </c>
      <c r="B224" s="18">
        <v>37</v>
      </c>
      <c r="D224" s="4">
        <f t="shared" si="31"/>
        <v>0</v>
      </c>
      <c r="E224" s="4">
        <f t="shared" si="32"/>
        <v>26.059557752445375</v>
      </c>
      <c r="F224" s="4">
        <f t="shared" si="33"/>
        <v>7.323271016030853</v>
      </c>
      <c r="G224" s="4">
        <f>IF(B224&gt;G$16*G$17+G$21,0,(SUM(D$187:D223)*((1+G$13/G$14)^((B224-G$21)/(12/G$14))-1))-SUM(G$187:G223))</f>
        <v>0</v>
      </c>
      <c r="J224" s="4">
        <f t="shared" si="34"/>
        <v>26.059557752445375</v>
      </c>
      <c r="K224" s="4">
        <f t="shared" si="30"/>
        <v>26.059557752445375</v>
      </c>
      <c r="L224" s="4">
        <f>IF(B224&lt;G$21,0,SUM(E225:E$319))</f>
        <v>599.3698283062434</v>
      </c>
    </row>
    <row r="225" spans="1:12" ht="12.75">
      <c r="A225" s="19" t="s">
        <v>53</v>
      </c>
      <c r="B225" s="18">
        <v>38</v>
      </c>
      <c r="D225" s="4">
        <f t="shared" si="31"/>
        <v>0</v>
      </c>
      <c r="E225" s="4">
        <f t="shared" si="32"/>
        <v>26.059557752445375</v>
      </c>
      <c r="F225" s="4">
        <f t="shared" si="33"/>
        <v>7.004867928377338</v>
      </c>
      <c r="G225" s="4">
        <f>IF(B225&gt;G$16*G$17+G$21,0,(SUM(D$187:D224)*((1+G$13/G$14)^((B225-G$21)/(12/G$14))-1))-SUM(G$187:G224))</f>
        <v>0</v>
      </c>
      <c r="J225" s="4">
        <f t="shared" si="34"/>
        <v>26.059557752445375</v>
      </c>
      <c r="K225" s="4">
        <f t="shared" si="30"/>
        <v>26.059557752445375</v>
      </c>
      <c r="L225" s="4">
        <f>IF(B225&lt;G$21,0,SUM(E226:E$319))</f>
        <v>573.3102705537981</v>
      </c>
    </row>
    <row r="226" spans="1:12" ht="12.75">
      <c r="A226" s="19" t="s">
        <v>54</v>
      </c>
      <c r="B226" s="18">
        <v>39</v>
      </c>
      <c r="D226" s="4">
        <f t="shared" si="31"/>
        <v>0</v>
      </c>
      <c r="E226" s="4">
        <f t="shared" si="32"/>
        <v>26.059557752445375</v>
      </c>
      <c r="F226" s="4">
        <f t="shared" si="33"/>
        <v>6.686464840723823</v>
      </c>
      <c r="G226" s="4">
        <f>IF(B226&gt;G$16*G$17+G$21,0,(SUM(D$187:D225)*((1+G$13/G$14)^((B226-G$21)/(12/G$14))-1))-SUM(G$187:G225))</f>
        <v>0</v>
      </c>
      <c r="I226" s="4">
        <f>H235*G$22*0.15</f>
        <v>3.5103940413800077</v>
      </c>
      <c r="J226" s="4">
        <f t="shared" si="34"/>
        <v>26.059557752445375</v>
      </c>
      <c r="K226" s="4">
        <f t="shared" si="30"/>
        <v>22.54916371106537</v>
      </c>
      <c r="L226" s="4">
        <f>IF(B226&lt;G$21,0,SUM(E227:E$319))</f>
        <v>547.2507128013527</v>
      </c>
    </row>
    <row r="227" spans="1:12" ht="12.75">
      <c r="A227" s="19" t="s">
        <v>55</v>
      </c>
      <c r="B227" s="18">
        <v>40</v>
      </c>
      <c r="D227" s="4">
        <f t="shared" si="31"/>
        <v>0</v>
      </c>
      <c r="E227" s="4">
        <f t="shared" si="32"/>
        <v>26.059557752445375</v>
      </c>
      <c r="F227" s="4">
        <f t="shared" si="33"/>
        <v>6.368061753070307</v>
      </c>
      <c r="G227" s="4">
        <f>IF(B227&gt;G$16*G$17+G$21,0,(SUM(D$187:D226)*((1+G$13/G$14)^((B227-G$21)/(12/G$14))-1))-SUM(G$187:G226))</f>
        <v>0</v>
      </c>
      <c r="J227" s="4">
        <f t="shared" si="34"/>
        <v>26.059557752445375</v>
      </c>
      <c r="K227" s="4">
        <f t="shared" si="30"/>
        <v>26.059557752445375</v>
      </c>
      <c r="L227" s="4">
        <f>IF(B227&lt;G$21,0,SUM(E228:E$319))</f>
        <v>521.1911550489074</v>
      </c>
    </row>
    <row r="228" spans="1:12" ht="12.75">
      <c r="A228" s="19" t="s">
        <v>56</v>
      </c>
      <c r="B228" s="18">
        <v>41</v>
      </c>
      <c r="D228" s="4">
        <f t="shared" si="31"/>
        <v>0</v>
      </c>
      <c r="E228" s="4">
        <f t="shared" si="32"/>
        <v>26.059557752445375</v>
      </c>
      <c r="F228" s="4">
        <f t="shared" si="33"/>
        <v>6.049658665416793</v>
      </c>
      <c r="G228" s="4">
        <f>IF(B228&gt;G$16*G$17+G$21,0,(SUM(D$187:D227)*((1+G$13/G$14)^((B228-G$21)/(12/G$14))-1))-SUM(G$187:G227))</f>
        <v>0</v>
      </c>
      <c r="J228" s="4">
        <f t="shared" si="34"/>
        <v>26.059557752445375</v>
      </c>
      <c r="K228" s="4">
        <f t="shared" si="30"/>
        <v>26.059557752445375</v>
      </c>
      <c r="L228" s="4">
        <f>IF(B228&lt;G$21,0,SUM(E229:E$319))</f>
        <v>495.131597296462</v>
      </c>
    </row>
    <row r="229" spans="1:12" ht="12.75">
      <c r="A229" s="19" t="s">
        <v>57</v>
      </c>
      <c r="B229" s="18">
        <v>42</v>
      </c>
      <c r="D229" s="4">
        <f t="shared" si="31"/>
        <v>0</v>
      </c>
      <c r="E229" s="4">
        <f t="shared" si="32"/>
        <v>26.059557752445375</v>
      </c>
      <c r="F229" s="4">
        <f t="shared" si="33"/>
        <v>5.731255577763277</v>
      </c>
      <c r="G229" s="4">
        <f>IF(B229&gt;G$16*G$17+G$21,0,(SUM(D$187:D228)*((1+G$13/G$14)^((B229-G$21)/(12/G$14))-1))-SUM(G$187:G228))</f>
        <v>0</v>
      </c>
      <c r="I229" s="4">
        <f>H235*$G$22*0.3</f>
        <v>7.020788082760015</v>
      </c>
      <c r="J229" s="4">
        <f t="shared" si="34"/>
        <v>26.059557752445375</v>
      </c>
      <c r="K229" s="4">
        <f aca="true" t="shared" si="35" ref="K229:K260">C229+E229-I229+D229</f>
        <v>19.038769669685358</v>
      </c>
      <c r="L229" s="4">
        <f>IF(B229&lt;G$21,0,SUM(E230:E$319))</f>
        <v>469.07203954401666</v>
      </c>
    </row>
    <row r="230" spans="1:12" ht="12.75">
      <c r="A230" s="19" t="s">
        <v>58</v>
      </c>
      <c r="B230" s="18">
        <v>43</v>
      </c>
      <c r="D230" s="4">
        <f t="shared" si="31"/>
        <v>0</v>
      </c>
      <c r="E230" s="4">
        <f t="shared" si="32"/>
        <v>26.059557752445375</v>
      </c>
      <c r="F230" s="4">
        <f t="shared" si="33"/>
        <v>5.412852490109762</v>
      </c>
      <c r="G230" s="4">
        <f>IF(B230&gt;G$16*G$17+G$21,0,(SUM(D$187:D229)*((1+G$13/G$14)^((B230-G$21)/(12/G$14))-1))-SUM(G$187:G229))</f>
        <v>0</v>
      </c>
      <c r="J230" s="4">
        <f t="shared" si="34"/>
        <v>26.059557752445375</v>
      </c>
      <c r="K230" s="4">
        <f t="shared" si="35"/>
        <v>26.059557752445375</v>
      </c>
      <c r="L230" s="4">
        <f>IF(B230&lt;G$21,0,SUM(E231:E$319))</f>
        <v>443.0124817915713</v>
      </c>
    </row>
    <row r="231" spans="1:12" ht="12.75">
      <c r="A231" s="19" t="s">
        <v>59</v>
      </c>
      <c r="B231" s="18">
        <v>44</v>
      </c>
      <c r="D231" s="4">
        <f t="shared" si="31"/>
        <v>0</v>
      </c>
      <c r="E231" s="4">
        <f t="shared" si="32"/>
        <v>26.059557752445375</v>
      </c>
      <c r="F231" s="4">
        <f t="shared" si="33"/>
        <v>5.094449402456247</v>
      </c>
      <c r="G231" s="4">
        <f>IF(B231&gt;G$16*G$17+G$21,0,(SUM(D$187:D230)*((1+G$13/G$14)^((B231-G$21)/(12/G$14))-1))-SUM(G$187:G230))</f>
        <v>0</v>
      </c>
      <c r="J231" s="4">
        <f t="shared" si="34"/>
        <v>26.059557752445375</v>
      </c>
      <c r="K231" s="4">
        <f t="shared" si="35"/>
        <v>26.059557752445375</v>
      </c>
      <c r="L231" s="4">
        <f>IF(B231&lt;G$21,0,SUM(E232:E$319))</f>
        <v>416.95292403912595</v>
      </c>
    </row>
    <row r="232" spans="1:12" ht="12.75">
      <c r="A232" s="19" t="s">
        <v>60</v>
      </c>
      <c r="B232" s="18">
        <v>45</v>
      </c>
      <c r="D232" s="4">
        <f aca="true" t="shared" si="36" ref="D232:D263">IF(B232=$G$16*G$17+G$21,-G$10*G$12*((1+G$13/G$14)^(G$16*G$14)),0)</f>
        <v>0</v>
      </c>
      <c r="E232" s="4">
        <f aca="true" t="shared" si="37" ref="E232:E263">IF(B232&lt;$G$21,0,IF(B232&lt;=G$16*G$17+$G$21-1,+(G$9*12/G$17),0))</f>
        <v>26.059557752445375</v>
      </c>
      <c r="F232" s="4">
        <f aca="true" t="shared" si="38" ref="F232:F263">IF(B232&lt;G$21,0,(+G$9*G$16*G$17-G$10)/SUM(L$188:L$319)*L232)</f>
        <v>4.7760463148027315</v>
      </c>
      <c r="G232" s="4">
        <f>IF(B232&gt;G$16*G$17+G$21,0,(SUM(D$187:D231)*((1+G$13/G$14)^((B232-G$21)/(12/G$14))-1))-SUM(G$187:G231))</f>
        <v>0</v>
      </c>
      <c r="I232" s="4">
        <f>H235*$G$22*0.3</f>
        <v>7.020788082760015</v>
      </c>
      <c r="J232" s="4">
        <f t="shared" si="34"/>
        <v>26.059557752445375</v>
      </c>
      <c r="K232" s="4">
        <f t="shared" si="35"/>
        <v>19.038769669685358</v>
      </c>
      <c r="L232" s="4">
        <f>IF(B232&lt;G$21,0,SUM(E233:E$319))</f>
        <v>390.8933662866806</v>
      </c>
    </row>
    <row r="233" spans="1:12" ht="12.75">
      <c r="A233" s="19" t="s">
        <v>61</v>
      </c>
      <c r="B233" s="18">
        <v>46</v>
      </c>
      <c r="D233" s="4">
        <f t="shared" si="36"/>
        <v>0</v>
      </c>
      <c r="E233" s="4">
        <f t="shared" si="37"/>
        <v>26.059557752445375</v>
      </c>
      <c r="F233" s="4">
        <f t="shared" si="38"/>
        <v>4.457643227149216</v>
      </c>
      <c r="G233" s="4">
        <f>IF(B233&gt;G$16*G$17+G$21,0,(SUM(D$187:D232)*((1+G$13/G$14)^((B233-G$21)/(12/G$14))-1))-SUM(G$187:G232))</f>
        <v>0</v>
      </c>
      <c r="J233" s="4">
        <f t="shared" si="34"/>
        <v>26.059557752445375</v>
      </c>
      <c r="K233" s="4">
        <f t="shared" si="35"/>
        <v>26.059557752445375</v>
      </c>
      <c r="L233" s="4">
        <f>IF(B233&lt;G$21,0,SUM(E234:E$319))</f>
        <v>364.83380853423523</v>
      </c>
    </row>
    <row r="234" spans="1:12" ht="12.75">
      <c r="A234" s="19" t="s">
        <v>62</v>
      </c>
      <c r="B234" s="18">
        <v>47</v>
      </c>
      <c r="D234" s="4">
        <f t="shared" si="36"/>
        <v>0</v>
      </c>
      <c r="E234" s="4">
        <f t="shared" si="37"/>
        <v>26.059557752445375</v>
      </c>
      <c r="F234" s="4">
        <f t="shared" si="38"/>
        <v>4.139240139495701</v>
      </c>
      <c r="G234" s="4">
        <f>IF(B234&gt;G$16*G$17+G$21,0,(SUM(D$187:D233)*((1+G$13/G$14)^((B234-G$21)/(12/G$14))-1))-SUM(G$187:G233))</f>
        <v>0</v>
      </c>
      <c r="J234" s="4">
        <f t="shared" si="34"/>
        <v>26.059557752445375</v>
      </c>
      <c r="K234" s="4">
        <f t="shared" si="35"/>
        <v>26.059557752445375</v>
      </c>
      <c r="L234" s="4">
        <f>IF(B234&lt;G$21,0,SUM(E235:E$319))</f>
        <v>338.7742507817899</v>
      </c>
    </row>
    <row r="235" spans="1:12" ht="12.75">
      <c r="A235" s="19" t="s">
        <v>63</v>
      </c>
      <c r="B235" s="18">
        <v>48</v>
      </c>
      <c r="D235" s="4">
        <f t="shared" si="36"/>
        <v>0</v>
      </c>
      <c r="E235" s="4">
        <f t="shared" si="37"/>
        <v>26.059557752445375</v>
      </c>
      <c r="F235" s="4">
        <f t="shared" si="38"/>
        <v>3.8208370518421857</v>
      </c>
      <c r="G235" s="4">
        <f>IF(B235&gt;G$16*G$17+G$21,0,(SUM(D$187:D234)*((1+G$13/G$14)^((B235-G$21)/(12/G$14))-1))-SUM(G$187:G234))</f>
        <v>0</v>
      </c>
      <c r="H235" s="4">
        <f>SUM(F224:F235)-SUM(G224:G235)</f>
        <v>66.86464840723825</v>
      </c>
      <c r="I235" s="4">
        <f>H235*$G$22*0.25</f>
        <v>5.850656735633346</v>
      </c>
      <c r="J235" s="4">
        <f t="shared" si="34"/>
        <v>26.059557752445375</v>
      </c>
      <c r="K235" s="4">
        <f t="shared" si="35"/>
        <v>20.208901016812028</v>
      </c>
      <c r="L235" s="4">
        <f>IF(B235&lt;G$21,0,SUM(E236:E$319))</f>
        <v>312.7146930293445</v>
      </c>
    </row>
    <row r="236" spans="1:12" ht="12.75">
      <c r="A236" s="19" t="s">
        <v>52</v>
      </c>
      <c r="B236" s="18">
        <v>49</v>
      </c>
      <c r="D236" s="4">
        <f t="shared" si="36"/>
        <v>0</v>
      </c>
      <c r="E236" s="4">
        <f t="shared" si="37"/>
        <v>26.059557752445375</v>
      </c>
      <c r="F236" s="4">
        <f t="shared" si="38"/>
        <v>3.5024339641886706</v>
      </c>
      <c r="G236" s="4">
        <f>IF(B236&gt;G$16*G$17+G$21,0,(SUM(D$187:D235)*((1+G$13/G$14)^((B236-G$21)/(12/G$14))-1))-SUM(G$187:G235))</f>
        <v>0</v>
      </c>
      <c r="J236" s="4">
        <f t="shared" si="34"/>
        <v>26.059557752445375</v>
      </c>
      <c r="K236" s="4">
        <f t="shared" si="35"/>
        <v>26.059557752445375</v>
      </c>
      <c r="L236" s="4">
        <f>IF(B236&lt;G$21,0,SUM(E237:E$319))</f>
        <v>286.65513527689916</v>
      </c>
    </row>
    <row r="237" spans="1:12" ht="12.75">
      <c r="A237" s="19" t="s">
        <v>53</v>
      </c>
      <c r="B237" s="18">
        <v>50</v>
      </c>
      <c r="D237" s="4">
        <f t="shared" si="36"/>
        <v>0</v>
      </c>
      <c r="E237" s="4">
        <f t="shared" si="37"/>
        <v>26.059557752445375</v>
      </c>
      <c r="F237" s="4">
        <f t="shared" si="38"/>
        <v>3.184030876535155</v>
      </c>
      <c r="G237" s="4">
        <f>IF(B237&gt;G$16*G$17+G$21,0,(SUM(D$187:D236)*((1+G$13/G$14)^((B237-G$21)/(12/G$14))-1))-SUM(G$187:G236))</f>
        <v>0</v>
      </c>
      <c r="J237" s="4">
        <f t="shared" si="34"/>
        <v>26.059557752445375</v>
      </c>
      <c r="K237" s="4">
        <f t="shared" si="35"/>
        <v>26.059557752445375</v>
      </c>
      <c r="L237" s="4">
        <f>IF(B237&lt;G$21,0,SUM(E238:E$319))</f>
        <v>260.5955775244538</v>
      </c>
    </row>
    <row r="238" spans="1:12" ht="12.75">
      <c r="A238" s="19" t="s">
        <v>54</v>
      </c>
      <c r="B238" s="18">
        <v>51</v>
      </c>
      <c r="D238" s="4">
        <f t="shared" si="36"/>
        <v>0</v>
      </c>
      <c r="E238" s="4">
        <f t="shared" si="37"/>
        <v>26.059557752445375</v>
      </c>
      <c r="F238" s="4">
        <f t="shared" si="38"/>
        <v>2.8656277888816395</v>
      </c>
      <c r="G238" s="4">
        <f>IF(B238&gt;G$16*G$17+G$21,0,(SUM(D$187:D237)*((1+G$13/G$14)^((B238-G$21)/(12/G$14))-1))-SUM(G$187:G237))</f>
        <v>0</v>
      </c>
      <c r="I238" s="4">
        <f>H247*G$22*0.15</f>
        <v>1.103266698719431</v>
      </c>
      <c r="J238" s="4">
        <f t="shared" si="34"/>
        <v>26.059557752445375</v>
      </c>
      <c r="K238" s="4">
        <f t="shared" si="35"/>
        <v>24.956291053725945</v>
      </c>
      <c r="L238" s="4">
        <f>IF(B238&lt;G$21,0,SUM(E239:E$319))</f>
        <v>234.53601977200842</v>
      </c>
    </row>
    <row r="239" spans="1:12" ht="12.75">
      <c r="A239" s="19" t="s">
        <v>55</v>
      </c>
      <c r="B239" s="18">
        <v>52</v>
      </c>
      <c r="D239" s="4">
        <f t="shared" si="36"/>
        <v>0</v>
      </c>
      <c r="E239" s="4">
        <f t="shared" si="37"/>
        <v>26.059557752445375</v>
      </c>
      <c r="F239" s="4">
        <f t="shared" si="38"/>
        <v>2.547224701228124</v>
      </c>
      <c r="G239" s="4">
        <f>IF(B239&gt;G$16*G$17+G$21,0,(SUM(D$187:D238)*((1+G$13/G$14)^((B239-G$21)/(12/G$14))-1))-SUM(G$187:G238))</f>
        <v>0</v>
      </c>
      <c r="J239" s="4">
        <f t="shared" si="34"/>
        <v>26.059557752445375</v>
      </c>
      <c r="K239" s="4">
        <f t="shared" si="35"/>
        <v>26.059557752445375</v>
      </c>
      <c r="L239" s="4">
        <f>IF(B239&lt;G$21,0,SUM(E240:E$319))</f>
        <v>208.47646201956303</v>
      </c>
    </row>
    <row r="240" spans="1:12" ht="12.75">
      <c r="A240" s="19" t="s">
        <v>56</v>
      </c>
      <c r="B240" s="18">
        <v>53</v>
      </c>
      <c r="D240" s="4">
        <f t="shared" si="36"/>
        <v>0</v>
      </c>
      <c r="E240" s="4">
        <f t="shared" si="37"/>
        <v>26.059557752445375</v>
      </c>
      <c r="F240" s="4">
        <f t="shared" si="38"/>
        <v>2.2288216135746084</v>
      </c>
      <c r="G240" s="4">
        <f>IF(B240&gt;G$16*G$17+G$21,0,(SUM(D$187:D239)*((1+G$13/G$14)^((B240-G$21)/(12/G$14))-1))-SUM(G$187:G239))</f>
        <v>0</v>
      </c>
      <c r="J240" s="4">
        <f t="shared" si="34"/>
        <v>26.059557752445375</v>
      </c>
      <c r="K240" s="4">
        <f t="shared" si="35"/>
        <v>26.059557752445375</v>
      </c>
      <c r="L240" s="4">
        <f>IF(B240&lt;G$21,0,SUM(E241:E$319))</f>
        <v>182.41690426711764</v>
      </c>
    </row>
    <row r="241" spans="1:12" ht="12.75">
      <c r="A241" s="19" t="s">
        <v>57</v>
      </c>
      <c r="B241" s="18">
        <v>54</v>
      </c>
      <c r="D241" s="4">
        <f t="shared" si="36"/>
        <v>0</v>
      </c>
      <c r="E241" s="4">
        <f t="shared" si="37"/>
        <v>26.059557752445375</v>
      </c>
      <c r="F241" s="4">
        <f t="shared" si="38"/>
        <v>1.9104185259210928</v>
      </c>
      <c r="G241" s="4">
        <f>IF(B241&gt;G$16*G$17+G$21,0,(SUM(D$187:D240)*((1+G$13/G$14)^((B241-G$21)/(12/G$14))-1))-SUM(G$187:G240))</f>
        <v>0</v>
      </c>
      <c r="I241" s="4">
        <f>H247*$G$22*0.3</f>
        <v>2.206533397438862</v>
      </c>
      <c r="J241" s="4">
        <f t="shared" si="34"/>
        <v>26.059557752445375</v>
      </c>
      <c r="K241" s="4">
        <f t="shared" si="35"/>
        <v>23.853024355006514</v>
      </c>
      <c r="L241" s="4">
        <f>IF(B241&lt;G$21,0,SUM(E242:E$319))</f>
        <v>156.35734651467226</v>
      </c>
    </row>
    <row r="242" spans="1:12" ht="12.75">
      <c r="A242" s="19" t="s">
        <v>58</v>
      </c>
      <c r="B242" s="18">
        <v>55</v>
      </c>
      <c r="D242" s="4">
        <f t="shared" si="36"/>
        <v>0</v>
      </c>
      <c r="E242" s="4">
        <f t="shared" si="37"/>
        <v>26.059557752445375</v>
      </c>
      <c r="F242" s="4">
        <f t="shared" si="38"/>
        <v>1.5920154382675773</v>
      </c>
      <c r="G242" s="4">
        <f>IF(B242&gt;G$16*G$17+G$21,0,(SUM(D$187:D241)*((1+G$13/G$14)^((B242-G$21)/(12/G$14))-1))-SUM(G$187:G241))</f>
        <v>0</v>
      </c>
      <c r="J242" s="4">
        <f t="shared" si="34"/>
        <v>26.059557752445375</v>
      </c>
      <c r="K242" s="4">
        <f t="shared" si="35"/>
        <v>26.059557752445375</v>
      </c>
      <c r="L242" s="4">
        <f>IF(B242&lt;G$21,0,SUM(E243:E$319))</f>
        <v>130.29778876222687</v>
      </c>
    </row>
    <row r="243" spans="1:12" ht="12.75">
      <c r="A243" s="19" t="s">
        <v>59</v>
      </c>
      <c r="B243" s="18">
        <v>56</v>
      </c>
      <c r="D243" s="4">
        <f t="shared" si="36"/>
        <v>0</v>
      </c>
      <c r="E243" s="4">
        <f t="shared" si="37"/>
        <v>26.059557752445375</v>
      </c>
      <c r="F243" s="4">
        <f t="shared" si="38"/>
        <v>1.2736123506140618</v>
      </c>
      <c r="G243" s="4">
        <f>IF(B243&gt;G$16*G$17+G$21,0,(SUM(D$187:D242)*((1+G$13/G$14)^((B243-G$21)/(12/G$14))-1))-SUM(G$187:G242))</f>
        <v>0</v>
      </c>
      <c r="J243" s="4">
        <f t="shared" si="34"/>
        <v>26.059557752445375</v>
      </c>
      <c r="K243" s="4">
        <f t="shared" si="35"/>
        <v>26.059557752445375</v>
      </c>
      <c r="L243" s="4">
        <f>IF(B243&lt;G$21,0,SUM(E244:E$319))</f>
        <v>104.2382310097815</v>
      </c>
    </row>
    <row r="244" spans="1:12" ht="12.75">
      <c r="A244" s="19" t="s">
        <v>60</v>
      </c>
      <c r="B244" s="18">
        <v>57</v>
      </c>
      <c r="D244" s="4">
        <f t="shared" si="36"/>
        <v>0</v>
      </c>
      <c r="E244" s="4">
        <f t="shared" si="37"/>
        <v>26.059557752445375</v>
      </c>
      <c r="F244" s="4">
        <f t="shared" si="38"/>
        <v>0.9552092629605464</v>
      </c>
      <c r="G244" s="4">
        <f>IF(B244&gt;G$16*G$17+G$21,0,(SUM(D$187:D243)*((1+G$13/G$14)^((B244-G$21)/(12/G$14))-1))-SUM(G$187:G243))</f>
        <v>0</v>
      </c>
      <c r="I244" s="4">
        <f>H247*$G$22*0.3</f>
        <v>2.206533397438862</v>
      </c>
      <c r="J244" s="4">
        <f t="shared" si="34"/>
        <v>26.059557752445375</v>
      </c>
      <c r="K244" s="4">
        <f t="shared" si="35"/>
        <v>23.853024355006514</v>
      </c>
      <c r="L244" s="4">
        <f>IF(B244&lt;G$21,0,SUM(E245:E$319))</f>
        <v>78.17867325733613</v>
      </c>
    </row>
    <row r="245" spans="1:12" ht="12.75">
      <c r="A245" s="19" t="s">
        <v>61</v>
      </c>
      <c r="B245" s="18">
        <v>58</v>
      </c>
      <c r="D245" s="4">
        <f t="shared" si="36"/>
        <v>0</v>
      </c>
      <c r="E245" s="4">
        <f t="shared" si="37"/>
        <v>26.059557752445375</v>
      </c>
      <c r="F245" s="4">
        <f t="shared" si="38"/>
        <v>0.6368061753070309</v>
      </c>
      <c r="G245" s="4">
        <f>IF(B245&gt;G$16*G$17+G$21,0,(SUM(D$187:D244)*((1+G$13/G$14)^((B245-G$21)/(12/G$14))-1))-SUM(G$187:G244))</f>
        <v>0</v>
      </c>
      <c r="J245" s="4">
        <f t="shared" si="34"/>
        <v>26.059557752445375</v>
      </c>
      <c r="K245" s="4">
        <f t="shared" si="35"/>
        <v>26.059557752445375</v>
      </c>
      <c r="L245" s="4">
        <f>IF(B245&lt;G$21,0,SUM(E246:E$319))</f>
        <v>52.11911550489075</v>
      </c>
    </row>
    <row r="246" spans="1:12" ht="12.75">
      <c r="A246" s="19" t="s">
        <v>62</v>
      </c>
      <c r="B246" s="18">
        <v>59</v>
      </c>
      <c r="D246" s="4">
        <f t="shared" si="36"/>
        <v>0</v>
      </c>
      <c r="E246" s="4">
        <f t="shared" si="37"/>
        <v>26.059557752445375</v>
      </c>
      <c r="F246" s="4">
        <f t="shared" si="38"/>
        <v>0.31840308765351544</v>
      </c>
      <c r="G246" s="4">
        <f>IF(B246&gt;G$16*G$17+G$21,0,(SUM(D$187:D245)*((1+G$13/G$14)^((B246-G$21)/(12/G$14))-1))-SUM(G$187:G245))</f>
        <v>0</v>
      </c>
      <c r="J246" s="4">
        <f t="shared" si="34"/>
        <v>26.059557752445375</v>
      </c>
      <c r="K246" s="4">
        <f t="shared" si="35"/>
        <v>26.059557752445375</v>
      </c>
      <c r="L246" s="4">
        <f>IF(B246&lt;G$21,0,SUM(E247:E$319))</f>
        <v>26.059557752445375</v>
      </c>
    </row>
    <row r="247" spans="1:12" ht="12.75">
      <c r="A247" s="19" t="s">
        <v>63</v>
      </c>
      <c r="B247" s="18">
        <v>60</v>
      </c>
      <c r="D247" s="4">
        <f t="shared" si="36"/>
        <v>0</v>
      </c>
      <c r="E247" s="4">
        <f t="shared" si="37"/>
        <v>26.059557752445375</v>
      </c>
      <c r="F247" s="4">
        <f t="shared" si="38"/>
        <v>0</v>
      </c>
      <c r="G247" s="4">
        <f>IF(B247&gt;G$16*G$17+G$21,0,(SUM(D$187:D246)*((1+G$13/G$14)^((B247-G$21)/(12/G$14))-1))-SUM(G$187:G246))</f>
        <v>0</v>
      </c>
      <c r="H247" s="4">
        <f>SUM(F236:F247)-SUM(G236:G247)</f>
        <v>21.01460378513202</v>
      </c>
      <c r="I247" s="4">
        <f>H247*$G$22*0.25</f>
        <v>1.8387778311990517</v>
      </c>
      <c r="J247" s="4">
        <f t="shared" si="34"/>
        <v>26.059557752445375</v>
      </c>
      <c r="K247" s="4">
        <f t="shared" si="35"/>
        <v>24.220779921246322</v>
      </c>
      <c r="L247" s="4">
        <f>IF(B247&lt;G$21,0,SUM(E248:E$319))</f>
        <v>0</v>
      </c>
    </row>
    <row r="248" spans="1:12" ht="12.75">
      <c r="A248" s="19" t="s">
        <v>52</v>
      </c>
      <c r="B248" s="18">
        <v>61</v>
      </c>
      <c r="D248" s="4">
        <f t="shared" si="36"/>
        <v>0</v>
      </c>
      <c r="E248" s="4">
        <f t="shared" si="37"/>
        <v>0</v>
      </c>
      <c r="F248" s="4">
        <f t="shared" si="38"/>
        <v>0</v>
      </c>
      <c r="G248" s="4">
        <f>IF(B248&gt;G$16*G$17+G$21,0,(SUM(D$187:D247)*((1+G$13/G$14)^((B248-G$21)/(12/G$14))-1))-SUM(G$187:G247))</f>
        <v>0</v>
      </c>
      <c r="J248" s="4">
        <f t="shared" si="34"/>
        <v>0</v>
      </c>
      <c r="K248" s="4">
        <f t="shared" si="35"/>
        <v>0</v>
      </c>
      <c r="L248" s="4">
        <f>IF(B248&lt;G$21,0,SUM(E249:E$319))</f>
        <v>0</v>
      </c>
    </row>
    <row r="249" spans="1:12" ht="12.75">
      <c r="A249" s="19" t="s">
        <v>53</v>
      </c>
      <c r="B249" s="18">
        <v>62</v>
      </c>
      <c r="D249" s="4">
        <f t="shared" si="36"/>
        <v>0</v>
      </c>
      <c r="E249" s="4">
        <f t="shared" si="37"/>
        <v>0</v>
      </c>
      <c r="F249" s="4">
        <f t="shared" si="38"/>
        <v>0</v>
      </c>
      <c r="G249" s="4">
        <f>IF(B249&gt;G$16*G$17+G$21,0,(SUM(D$187:D248)*((1+G$13/G$14)^((B249-G$21)/(12/G$14))-1))-SUM(G$187:G248))</f>
        <v>0</v>
      </c>
      <c r="J249" s="4">
        <f t="shared" si="34"/>
        <v>0</v>
      </c>
      <c r="K249" s="4">
        <f t="shared" si="35"/>
        <v>0</v>
      </c>
      <c r="L249" s="4">
        <f>IF(B249&lt;G$21,0,SUM(E250:E$319))</f>
        <v>0</v>
      </c>
    </row>
    <row r="250" spans="1:12" ht="12.75">
      <c r="A250" s="19" t="s">
        <v>54</v>
      </c>
      <c r="B250" s="18">
        <v>63</v>
      </c>
      <c r="D250" s="4">
        <f t="shared" si="36"/>
        <v>0</v>
      </c>
      <c r="E250" s="4">
        <f t="shared" si="37"/>
        <v>0</v>
      </c>
      <c r="F250" s="4">
        <f t="shared" si="38"/>
        <v>0</v>
      </c>
      <c r="G250" s="4">
        <f>IF(B250&gt;G$16*G$17+G$21,0,(SUM(D$187:D249)*((1+G$13/G$14)^((B250-G$21)/(12/G$14))-1))-SUM(G$187:G249))</f>
        <v>0</v>
      </c>
      <c r="I250" s="4">
        <f>H259*G$22*0.15</f>
        <v>0</v>
      </c>
      <c r="J250" s="4">
        <f t="shared" si="34"/>
        <v>0</v>
      </c>
      <c r="K250" s="4">
        <f t="shared" si="35"/>
        <v>0</v>
      </c>
      <c r="L250" s="4">
        <f>IF(B250&lt;G$21,0,SUM(E251:E$319))</f>
        <v>0</v>
      </c>
    </row>
    <row r="251" spans="1:12" ht="12.75">
      <c r="A251" s="19" t="s">
        <v>55</v>
      </c>
      <c r="B251" s="18">
        <v>64</v>
      </c>
      <c r="D251" s="4">
        <f t="shared" si="36"/>
        <v>0</v>
      </c>
      <c r="E251" s="4">
        <f t="shared" si="37"/>
        <v>0</v>
      </c>
      <c r="F251" s="4">
        <f t="shared" si="38"/>
        <v>0</v>
      </c>
      <c r="G251" s="4">
        <f>IF(B251&gt;G$16*G$17+G$21,0,(SUM(D$187:D250)*((1+G$13/G$14)^((B251-G$21)/(12/G$14))-1))-SUM(G$187:G250))</f>
        <v>0</v>
      </c>
      <c r="J251" s="4">
        <f t="shared" si="34"/>
        <v>0</v>
      </c>
      <c r="K251" s="4">
        <f t="shared" si="35"/>
        <v>0</v>
      </c>
      <c r="L251" s="4">
        <f>IF(B251&lt;G$21,0,SUM(E252:E$319))</f>
        <v>0</v>
      </c>
    </row>
    <row r="252" spans="1:12" ht="12.75">
      <c r="A252" s="19" t="s">
        <v>56</v>
      </c>
      <c r="B252" s="18">
        <v>65</v>
      </c>
      <c r="D252" s="4">
        <f t="shared" si="36"/>
        <v>0</v>
      </c>
      <c r="E252" s="4">
        <f t="shared" si="37"/>
        <v>0</v>
      </c>
      <c r="F252" s="4">
        <f t="shared" si="38"/>
        <v>0</v>
      </c>
      <c r="G252" s="4">
        <f>IF(B252&gt;G$16*G$17+G$21,0,(SUM(D$187:D251)*((1+G$13/G$14)^((B252-G$21)/(12/G$14))-1))-SUM(G$187:G251))</f>
        <v>0</v>
      </c>
      <c r="J252" s="4">
        <f aca="true" t="shared" si="39" ref="J252:J283">C252+D252+E252</f>
        <v>0</v>
      </c>
      <c r="K252" s="4">
        <f t="shared" si="35"/>
        <v>0</v>
      </c>
      <c r="L252" s="4">
        <f>IF(B252&lt;G$21,0,SUM(E253:E$319))</f>
        <v>0</v>
      </c>
    </row>
    <row r="253" spans="1:12" ht="12.75">
      <c r="A253" s="19" t="s">
        <v>57</v>
      </c>
      <c r="B253" s="18">
        <v>66</v>
      </c>
      <c r="D253" s="4">
        <f t="shared" si="36"/>
        <v>0</v>
      </c>
      <c r="E253" s="4">
        <f t="shared" si="37"/>
        <v>0</v>
      </c>
      <c r="F253" s="4">
        <f t="shared" si="38"/>
        <v>0</v>
      </c>
      <c r="G253" s="4">
        <f>IF(B253&gt;G$16*G$17+G$21,0,(SUM(D$187:D252)*((1+G$13/G$14)^((B253-G$21)/(12/G$14))-1))-SUM(G$187:G252))</f>
        <v>0</v>
      </c>
      <c r="I253" s="4">
        <f>H259*$G$22*0.3</f>
        <v>0</v>
      </c>
      <c r="J253" s="4">
        <f t="shared" si="39"/>
        <v>0</v>
      </c>
      <c r="K253" s="4">
        <f t="shared" si="35"/>
        <v>0</v>
      </c>
      <c r="L253" s="4">
        <f>IF(B253&lt;G$21,0,SUM(E254:E$319))</f>
        <v>0</v>
      </c>
    </row>
    <row r="254" spans="1:12" ht="12.75">
      <c r="A254" s="19" t="s">
        <v>58</v>
      </c>
      <c r="B254" s="18">
        <v>67</v>
      </c>
      <c r="D254" s="4">
        <f t="shared" si="36"/>
        <v>0</v>
      </c>
      <c r="E254" s="4">
        <f t="shared" si="37"/>
        <v>0</v>
      </c>
      <c r="F254" s="4">
        <f t="shared" si="38"/>
        <v>0</v>
      </c>
      <c r="G254" s="4">
        <f>IF(B254&gt;G$16*G$17+G$21,0,(SUM(D$187:D253)*((1+G$13/G$14)^((B254-G$21)/(12/G$14))-1))-SUM(G$187:G253))</f>
        <v>0</v>
      </c>
      <c r="J254" s="4">
        <f t="shared" si="39"/>
        <v>0</v>
      </c>
      <c r="K254" s="4">
        <f t="shared" si="35"/>
        <v>0</v>
      </c>
      <c r="L254" s="4">
        <f>IF(B254&lt;G$21,0,SUM(E255:E$319))</f>
        <v>0</v>
      </c>
    </row>
    <row r="255" spans="1:12" ht="12.75">
      <c r="A255" s="19" t="s">
        <v>59</v>
      </c>
      <c r="B255" s="18">
        <v>68</v>
      </c>
      <c r="D255" s="4">
        <f t="shared" si="36"/>
        <v>0</v>
      </c>
      <c r="E255" s="4">
        <f t="shared" si="37"/>
        <v>0</v>
      </c>
      <c r="F255" s="4">
        <f t="shared" si="38"/>
        <v>0</v>
      </c>
      <c r="G255" s="4">
        <f>IF(B255&gt;G$16*G$17+G$21,0,(SUM(D$187:D254)*((1+G$13/G$14)^((B255-G$21)/(12/G$14))-1))-SUM(G$187:G254))</f>
        <v>0</v>
      </c>
      <c r="J255" s="4">
        <f t="shared" si="39"/>
        <v>0</v>
      </c>
      <c r="K255" s="4">
        <f t="shared" si="35"/>
        <v>0</v>
      </c>
      <c r="L255" s="4">
        <f>IF(B255&lt;G$21,0,SUM(E256:E$319))</f>
        <v>0</v>
      </c>
    </row>
    <row r="256" spans="1:12" ht="12.75">
      <c r="A256" s="19" t="s">
        <v>60</v>
      </c>
      <c r="B256" s="18">
        <v>69</v>
      </c>
      <c r="D256" s="4">
        <f t="shared" si="36"/>
        <v>0</v>
      </c>
      <c r="E256" s="4">
        <f t="shared" si="37"/>
        <v>0</v>
      </c>
      <c r="F256" s="4">
        <f t="shared" si="38"/>
        <v>0</v>
      </c>
      <c r="G256" s="4">
        <f>IF(B256&gt;G$16*G$17+G$21,0,(SUM(D$187:D255)*((1+G$13/G$14)^((B256-G$21)/(12/G$14))-1))-SUM(G$187:G255))</f>
        <v>0</v>
      </c>
      <c r="I256" s="4">
        <f>H259*$G$22*0.3</f>
        <v>0</v>
      </c>
      <c r="J256" s="4">
        <f t="shared" si="39"/>
        <v>0</v>
      </c>
      <c r="K256" s="4">
        <f t="shared" si="35"/>
        <v>0</v>
      </c>
      <c r="L256" s="4">
        <f>IF(B256&lt;G$21,0,SUM(E257:E$319))</f>
        <v>0</v>
      </c>
    </row>
    <row r="257" spans="1:12" ht="12.75">
      <c r="A257" s="19" t="s">
        <v>61</v>
      </c>
      <c r="B257" s="18">
        <v>70</v>
      </c>
      <c r="D257" s="4">
        <f t="shared" si="36"/>
        <v>0</v>
      </c>
      <c r="E257" s="4">
        <f t="shared" si="37"/>
        <v>0</v>
      </c>
      <c r="F257" s="4">
        <f t="shared" si="38"/>
        <v>0</v>
      </c>
      <c r="G257" s="4">
        <f>IF(B257&gt;G$16*G$17+G$21,0,(SUM(D$187:D256)*((1+G$13/G$14)^((B257-G$21)/(12/G$14))-1))-SUM(G$187:G256))</f>
        <v>0</v>
      </c>
      <c r="J257" s="4">
        <f t="shared" si="39"/>
        <v>0</v>
      </c>
      <c r="K257" s="4">
        <f t="shared" si="35"/>
        <v>0</v>
      </c>
      <c r="L257" s="4">
        <f>IF(B257&lt;G$21,0,SUM(E258:E$319))</f>
        <v>0</v>
      </c>
    </row>
    <row r="258" spans="1:12" ht="12.75">
      <c r="A258" s="19" t="s">
        <v>62</v>
      </c>
      <c r="B258" s="18">
        <v>71</v>
      </c>
      <c r="D258" s="4">
        <f t="shared" si="36"/>
        <v>0</v>
      </c>
      <c r="E258" s="4">
        <f t="shared" si="37"/>
        <v>0</v>
      </c>
      <c r="F258" s="4">
        <f t="shared" si="38"/>
        <v>0</v>
      </c>
      <c r="G258" s="4">
        <f>IF(B258&gt;G$16*G$17+G$21,0,(SUM(D$187:D257)*((1+G$13/G$14)^((B258-G$21)/(12/G$14))-1))-SUM(G$187:G257))</f>
        <v>0</v>
      </c>
      <c r="J258" s="4">
        <f t="shared" si="39"/>
        <v>0</v>
      </c>
      <c r="K258" s="4">
        <f t="shared" si="35"/>
        <v>0</v>
      </c>
      <c r="L258" s="4">
        <f>IF(B258&lt;G$21,0,SUM(E259:E$319))</f>
        <v>0</v>
      </c>
    </row>
    <row r="259" spans="1:12" ht="12.75">
      <c r="A259" s="19" t="s">
        <v>63</v>
      </c>
      <c r="B259" s="18">
        <v>72</v>
      </c>
      <c r="D259" s="4">
        <f t="shared" si="36"/>
        <v>0</v>
      </c>
      <c r="E259" s="4">
        <f t="shared" si="37"/>
        <v>0</v>
      </c>
      <c r="F259" s="4">
        <f t="shared" si="38"/>
        <v>0</v>
      </c>
      <c r="G259" s="4">
        <f>IF(B259&gt;G$16*G$17+G$21,0,(SUM(D$187:D258)*((1+G$13/G$14)^((B259-G$21)/(12/G$14))-1))-SUM(G$187:G258))</f>
        <v>0</v>
      </c>
      <c r="H259" s="4">
        <f>SUM(F248:F259)-SUM(G248:G259)</f>
        <v>0</v>
      </c>
      <c r="I259" s="4">
        <f>H259*$G$22*0.25</f>
        <v>0</v>
      </c>
      <c r="J259" s="4">
        <f t="shared" si="39"/>
        <v>0</v>
      </c>
      <c r="K259" s="4">
        <f t="shared" si="35"/>
        <v>0</v>
      </c>
      <c r="L259" s="4">
        <f>IF(B259&lt;G$21,0,SUM(E260:E$319))</f>
        <v>0</v>
      </c>
    </row>
    <row r="260" spans="1:12" ht="12.75">
      <c r="A260" s="19" t="s">
        <v>64</v>
      </c>
      <c r="B260" s="18">
        <v>73</v>
      </c>
      <c r="D260" s="4">
        <f t="shared" si="36"/>
        <v>0</v>
      </c>
      <c r="E260" s="4">
        <f t="shared" si="37"/>
        <v>0</v>
      </c>
      <c r="F260" s="4">
        <f t="shared" si="38"/>
        <v>0</v>
      </c>
      <c r="G260" s="4">
        <f>IF(B260&gt;G$16*G$17+G$21,0,(SUM(D$187:D259)*((1+G$13/G$14)^((B260-G$21)/(12/G$14))-1))-SUM(G$187:G259))</f>
        <v>0</v>
      </c>
      <c r="J260" s="4">
        <f t="shared" si="39"/>
        <v>0</v>
      </c>
      <c r="K260" s="4">
        <f t="shared" si="35"/>
        <v>0</v>
      </c>
      <c r="L260" s="4">
        <f>IF(B260&lt;G$21,0,SUM(E261:E$319))</f>
        <v>0</v>
      </c>
    </row>
    <row r="261" spans="1:12" ht="12.75">
      <c r="A261" s="19" t="s">
        <v>53</v>
      </c>
      <c r="B261" s="18">
        <v>74</v>
      </c>
      <c r="D261" s="4">
        <f t="shared" si="36"/>
        <v>0</v>
      </c>
      <c r="E261" s="4">
        <f t="shared" si="37"/>
        <v>0</v>
      </c>
      <c r="F261" s="4">
        <f t="shared" si="38"/>
        <v>0</v>
      </c>
      <c r="G261" s="4">
        <f>IF(B261&gt;G$16*G$17+G$21,0,(SUM(D$187:D260)*((1+G$13/G$14)^((B261-G$21)/(12/G$14))-1))-SUM(G$187:G260))</f>
        <v>0</v>
      </c>
      <c r="J261" s="4">
        <f t="shared" si="39"/>
        <v>0</v>
      </c>
      <c r="K261" s="4">
        <f aca="true" t="shared" si="40" ref="K261:K292">C261+E261-I261+D261</f>
        <v>0</v>
      </c>
      <c r="L261" s="4">
        <f>IF(B261&lt;G$21,0,SUM(E262:E$319))</f>
        <v>0</v>
      </c>
    </row>
    <row r="262" spans="1:12" ht="12.75">
      <c r="A262" s="19" t="s">
        <v>54</v>
      </c>
      <c r="B262" s="18">
        <v>75</v>
      </c>
      <c r="D262" s="4">
        <f t="shared" si="36"/>
        <v>0</v>
      </c>
      <c r="E262" s="4">
        <f t="shared" si="37"/>
        <v>0</v>
      </c>
      <c r="F262" s="4">
        <f t="shared" si="38"/>
        <v>0</v>
      </c>
      <c r="G262" s="4">
        <f>IF(B262&gt;G$16*G$17+G$21,0,(SUM(D$187:D261)*((1+G$13/G$14)^((B262-G$21)/(12/G$14))-1))-SUM(G$187:G261))</f>
        <v>0</v>
      </c>
      <c r="I262" s="4">
        <f>H271*G$22*0.15</f>
        <v>0</v>
      </c>
      <c r="J262" s="4">
        <f t="shared" si="39"/>
        <v>0</v>
      </c>
      <c r="K262" s="4">
        <f t="shared" si="40"/>
        <v>0</v>
      </c>
      <c r="L262" s="4">
        <f>IF(B262&lt;G$21,0,SUM(E263:E$319))</f>
        <v>0</v>
      </c>
    </row>
    <row r="263" spans="1:12" ht="12.75">
      <c r="A263" s="19" t="s">
        <v>55</v>
      </c>
      <c r="B263" s="18">
        <v>76</v>
      </c>
      <c r="D263" s="4">
        <f t="shared" si="36"/>
        <v>0</v>
      </c>
      <c r="E263" s="4">
        <f t="shared" si="37"/>
        <v>0</v>
      </c>
      <c r="F263" s="4">
        <f t="shared" si="38"/>
        <v>0</v>
      </c>
      <c r="G263" s="4">
        <f>IF(B263&gt;G$16*G$17+G$21,0,(SUM(D$187:D262)*((1+G$13/G$14)^((B263-G$21)/(12/G$14))-1))-SUM(G$187:G262))</f>
        <v>0</v>
      </c>
      <c r="J263" s="4">
        <f t="shared" si="39"/>
        <v>0</v>
      </c>
      <c r="K263" s="4">
        <f t="shared" si="40"/>
        <v>0</v>
      </c>
      <c r="L263" s="4">
        <f>IF(B263&lt;G$21,0,SUM(E264:E$319))</f>
        <v>0</v>
      </c>
    </row>
    <row r="264" spans="1:12" ht="12.75">
      <c r="A264" s="19" t="s">
        <v>56</v>
      </c>
      <c r="B264" s="18">
        <v>77</v>
      </c>
      <c r="D264" s="4">
        <f aca="true" t="shared" si="41" ref="D264:D295">IF(B264=$G$16*G$17+G$21,-G$10*G$12*((1+G$13/G$14)^(G$16*G$14)),0)</f>
        <v>0</v>
      </c>
      <c r="E264" s="4">
        <f aca="true" t="shared" si="42" ref="E264:E295">IF(B264&lt;$G$21,0,IF(B264&lt;=G$16*G$17+$G$21-1,+(G$9*12/G$17),0))</f>
        <v>0</v>
      </c>
      <c r="F264" s="4">
        <f aca="true" t="shared" si="43" ref="F264:F295">IF(B264&lt;G$21,0,(+G$9*G$16*G$17-G$10)/SUM(L$188:L$319)*L264)</f>
        <v>0</v>
      </c>
      <c r="G264" s="4">
        <f>IF(B264&gt;G$16*G$17+G$21,0,(SUM(D$187:D263)*((1+G$13/G$14)^((B264-G$21)/(12/G$14))-1))-SUM(G$187:G263))</f>
        <v>0</v>
      </c>
      <c r="J264" s="4">
        <f t="shared" si="39"/>
        <v>0</v>
      </c>
      <c r="K264" s="4">
        <f t="shared" si="40"/>
        <v>0</v>
      </c>
      <c r="L264" s="4">
        <f>IF(B264&lt;G$21,0,SUM(E265:E$319))</f>
        <v>0</v>
      </c>
    </row>
    <row r="265" spans="1:12" ht="12.75">
      <c r="A265" s="19" t="s">
        <v>57</v>
      </c>
      <c r="B265" s="18">
        <v>78</v>
      </c>
      <c r="D265" s="4">
        <f t="shared" si="41"/>
        <v>0</v>
      </c>
      <c r="E265" s="4">
        <f t="shared" si="42"/>
        <v>0</v>
      </c>
      <c r="F265" s="4">
        <f t="shared" si="43"/>
        <v>0</v>
      </c>
      <c r="G265" s="4">
        <f>IF(B265&gt;G$16*G$17+G$21,0,(SUM(D$187:D264)*((1+G$13/G$14)^((B265-G$21)/(12/G$14))-1))-SUM(G$187:G264))</f>
        <v>0</v>
      </c>
      <c r="I265" s="4">
        <f>H271*$G$22*0.3</f>
        <v>0</v>
      </c>
      <c r="J265" s="4">
        <f t="shared" si="39"/>
        <v>0</v>
      </c>
      <c r="K265" s="4">
        <f t="shared" si="40"/>
        <v>0</v>
      </c>
      <c r="L265" s="4">
        <f>IF(B265&lt;G$21,0,SUM(E266:E$319))</f>
        <v>0</v>
      </c>
    </row>
    <row r="266" spans="1:12" ht="12.75">
      <c r="A266" s="19" t="s">
        <v>58</v>
      </c>
      <c r="B266" s="18">
        <v>79</v>
      </c>
      <c r="D266" s="4">
        <f t="shared" si="41"/>
        <v>0</v>
      </c>
      <c r="E266" s="4">
        <f t="shared" si="42"/>
        <v>0</v>
      </c>
      <c r="F266" s="4">
        <f t="shared" si="43"/>
        <v>0</v>
      </c>
      <c r="G266" s="4">
        <f>IF(B266&gt;G$16*G$17+G$21,0,(SUM(D$187:D265)*((1+G$13/G$14)^((B266-G$21)/(12/G$14))-1))-SUM(G$187:G265))</f>
        <v>0</v>
      </c>
      <c r="J266" s="4">
        <f t="shared" si="39"/>
        <v>0</v>
      </c>
      <c r="K266" s="4">
        <f t="shared" si="40"/>
        <v>0</v>
      </c>
      <c r="L266" s="4">
        <f>IF(B266&lt;G$21,0,SUM(E267:E$319))</f>
        <v>0</v>
      </c>
    </row>
    <row r="267" spans="1:12" ht="12.75">
      <c r="A267" s="19" t="s">
        <v>59</v>
      </c>
      <c r="B267" s="18">
        <v>80</v>
      </c>
      <c r="D267" s="4">
        <f t="shared" si="41"/>
        <v>0</v>
      </c>
      <c r="E267" s="4">
        <f t="shared" si="42"/>
        <v>0</v>
      </c>
      <c r="F267" s="4">
        <f t="shared" si="43"/>
        <v>0</v>
      </c>
      <c r="G267" s="4">
        <f>IF(B267&gt;G$16*G$17+G$21,0,(SUM(D$187:D266)*((1+G$13/G$14)^((B267-G$21)/(12/G$14))-1))-SUM(G$187:G266))</f>
        <v>0</v>
      </c>
      <c r="J267" s="4">
        <f t="shared" si="39"/>
        <v>0</v>
      </c>
      <c r="K267" s="4">
        <f t="shared" si="40"/>
        <v>0</v>
      </c>
      <c r="L267" s="4">
        <f>IF(B267&lt;G$21,0,SUM(E268:E$319))</f>
        <v>0</v>
      </c>
    </row>
    <row r="268" spans="1:12" ht="12.75">
      <c r="A268" s="19" t="s">
        <v>60</v>
      </c>
      <c r="B268" s="18">
        <v>81</v>
      </c>
      <c r="D268" s="4">
        <f t="shared" si="41"/>
        <v>0</v>
      </c>
      <c r="E268" s="4">
        <f t="shared" si="42"/>
        <v>0</v>
      </c>
      <c r="F268" s="4">
        <f t="shared" si="43"/>
        <v>0</v>
      </c>
      <c r="G268" s="4">
        <f>IF(B268&gt;G$16*G$17+G$21,0,(SUM(D$187:D267)*((1+G$13/G$14)^((B268-G$21)/(12/G$14))-1))-SUM(G$187:G267))</f>
        <v>0</v>
      </c>
      <c r="I268" s="4">
        <f>H271*$G$22*0.3</f>
        <v>0</v>
      </c>
      <c r="J268" s="4">
        <f t="shared" si="39"/>
        <v>0</v>
      </c>
      <c r="K268" s="4">
        <f t="shared" si="40"/>
        <v>0</v>
      </c>
      <c r="L268" s="4">
        <f>IF(B268&lt;G$21,0,SUM(E269:E$319))</f>
        <v>0</v>
      </c>
    </row>
    <row r="269" spans="1:12" ht="12.75">
      <c r="A269" s="19" t="s">
        <v>61</v>
      </c>
      <c r="B269" s="18">
        <v>82</v>
      </c>
      <c r="D269" s="4">
        <f t="shared" si="41"/>
        <v>0</v>
      </c>
      <c r="E269" s="4">
        <f t="shared" si="42"/>
        <v>0</v>
      </c>
      <c r="F269" s="4">
        <f t="shared" si="43"/>
        <v>0</v>
      </c>
      <c r="G269" s="4">
        <f>IF(B269&gt;G$16*G$17+G$21,0,(SUM(D$187:D268)*((1+G$13/G$14)^((B269-G$21)/(12/G$14))-1))-SUM(G$187:G268))</f>
        <v>0</v>
      </c>
      <c r="J269" s="4">
        <f t="shared" si="39"/>
        <v>0</v>
      </c>
      <c r="K269" s="4">
        <f t="shared" si="40"/>
        <v>0</v>
      </c>
      <c r="L269" s="4">
        <f>IF(B269&lt;G$21,0,SUM(E270:E$319))</f>
        <v>0</v>
      </c>
    </row>
    <row r="270" spans="1:12" ht="12.75">
      <c r="A270" s="19" t="s">
        <v>62</v>
      </c>
      <c r="B270" s="18">
        <v>83</v>
      </c>
      <c r="D270" s="4">
        <f t="shared" si="41"/>
        <v>0</v>
      </c>
      <c r="E270" s="4">
        <f t="shared" si="42"/>
        <v>0</v>
      </c>
      <c r="F270" s="4">
        <f t="shared" si="43"/>
        <v>0</v>
      </c>
      <c r="G270" s="4">
        <f>IF(B270&gt;G$16*G$17+G$21,0,(SUM(D$187:D269)*((1+G$13/G$14)^((B270-G$21)/(12/G$14))-1))-SUM(G$187:G269))</f>
        <v>0</v>
      </c>
      <c r="J270" s="4">
        <f t="shared" si="39"/>
        <v>0</v>
      </c>
      <c r="K270" s="4">
        <f t="shared" si="40"/>
        <v>0</v>
      </c>
      <c r="L270" s="4">
        <f>IF(B270&lt;G$21,0,SUM(E271:E$319))</f>
        <v>0</v>
      </c>
    </row>
    <row r="271" spans="1:12" ht="12.75">
      <c r="A271" s="19" t="s">
        <v>63</v>
      </c>
      <c r="B271" s="18">
        <v>84</v>
      </c>
      <c r="D271" s="4">
        <f t="shared" si="41"/>
        <v>0</v>
      </c>
      <c r="E271" s="4">
        <f t="shared" si="42"/>
        <v>0</v>
      </c>
      <c r="F271" s="4">
        <f t="shared" si="43"/>
        <v>0</v>
      </c>
      <c r="G271" s="4">
        <f>IF(B271&gt;G$16*G$17+G$21,0,(SUM(D$187:D270)*((1+G$13/G$14)^((B271-G$21)/(12/G$14))-1))-SUM(G$187:G270))</f>
        <v>0</v>
      </c>
      <c r="H271" s="4">
        <f>SUM(F260:F271)-SUM(G260:G271)</f>
        <v>0</v>
      </c>
      <c r="I271" s="4">
        <f>H271*$G$22*0.25</f>
        <v>0</v>
      </c>
      <c r="J271" s="4">
        <f t="shared" si="39"/>
        <v>0</v>
      </c>
      <c r="K271" s="4">
        <f t="shared" si="40"/>
        <v>0</v>
      </c>
      <c r="L271" s="4">
        <f>IF(B271&lt;G$21,0,SUM(E272:E$319))</f>
        <v>0</v>
      </c>
    </row>
    <row r="272" spans="1:12" ht="12.75">
      <c r="A272" s="19" t="s">
        <v>52</v>
      </c>
      <c r="B272" s="18">
        <v>85</v>
      </c>
      <c r="D272" s="4">
        <f t="shared" si="41"/>
        <v>0</v>
      </c>
      <c r="E272" s="4">
        <f t="shared" si="42"/>
        <v>0</v>
      </c>
      <c r="F272" s="4">
        <f t="shared" si="43"/>
        <v>0</v>
      </c>
      <c r="G272" s="4">
        <f>IF(B272&gt;G$16*G$17+G$21,0,(SUM(D$187:D271)*((1+G$13/G$14)^((B272-G$21)/(12/G$14))-1))-SUM(G$187:G271))</f>
        <v>0</v>
      </c>
      <c r="J272" s="4">
        <f t="shared" si="39"/>
        <v>0</v>
      </c>
      <c r="K272" s="4">
        <f t="shared" si="40"/>
        <v>0</v>
      </c>
      <c r="L272" s="4">
        <f>IF(B272&lt;G$21,0,SUM(E273:E$319))</f>
        <v>0</v>
      </c>
    </row>
    <row r="273" spans="1:12" ht="12.75">
      <c r="A273" s="19" t="s">
        <v>53</v>
      </c>
      <c r="B273" s="18">
        <v>86</v>
      </c>
      <c r="D273" s="4">
        <f t="shared" si="41"/>
        <v>0</v>
      </c>
      <c r="E273" s="4">
        <f t="shared" si="42"/>
        <v>0</v>
      </c>
      <c r="F273" s="4">
        <f t="shared" si="43"/>
        <v>0</v>
      </c>
      <c r="G273" s="4">
        <f>IF(B273&gt;G$16*G$17+G$21,0,(SUM(D$187:D272)*((1+G$13/G$14)^((B273-G$21)/(12/G$14))-1))-SUM(G$187:G272))</f>
        <v>0</v>
      </c>
      <c r="J273" s="4">
        <f t="shared" si="39"/>
        <v>0</v>
      </c>
      <c r="K273" s="4">
        <f t="shared" si="40"/>
        <v>0</v>
      </c>
      <c r="L273" s="4">
        <f>IF(B273&lt;G$21,0,SUM(E274:E$319))</f>
        <v>0</v>
      </c>
    </row>
    <row r="274" spans="1:12" ht="12.75">
      <c r="A274" s="19" t="s">
        <v>54</v>
      </c>
      <c r="B274" s="18">
        <v>87</v>
      </c>
      <c r="D274" s="4">
        <f t="shared" si="41"/>
        <v>0</v>
      </c>
      <c r="E274" s="4">
        <f t="shared" si="42"/>
        <v>0</v>
      </c>
      <c r="F274" s="4">
        <f t="shared" si="43"/>
        <v>0</v>
      </c>
      <c r="G274" s="4">
        <f>IF(B274&gt;G$16*G$17+G$21,0,(SUM(D$187:D273)*((1+G$13/G$14)^((B274-G$21)/(12/G$14))-1))-SUM(G$187:G273))</f>
        <v>0</v>
      </c>
      <c r="I274" s="4">
        <f>H283*G$22*0.15</f>
        <v>0</v>
      </c>
      <c r="J274" s="4">
        <f t="shared" si="39"/>
        <v>0</v>
      </c>
      <c r="K274" s="4">
        <f t="shared" si="40"/>
        <v>0</v>
      </c>
      <c r="L274" s="4">
        <f>IF(B274&lt;G$21,0,SUM(E275:E$319))</f>
        <v>0</v>
      </c>
    </row>
    <row r="275" spans="1:12" ht="12.75">
      <c r="A275" s="19" t="s">
        <v>55</v>
      </c>
      <c r="B275" s="18">
        <v>88</v>
      </c>
      <c r="D275" s="4">
        <f t="shared" si="41"/>
        <v>0</v>
      </c>
      <c r="E275" s="4">
        <f t="shared" si="42"/>
        <v>0</v>
      </c>
      <c r="F275" s="4">
        <f t="shared" si="43"/>
        <v>0</v>
      </c>
      <c r="G275" s="4">
        <f>IF(B275&gt;G$16*G$17+G$21,0,(SUM(D$187:D274)*((1+G$13/G$14)^((B275-G$21)/(12/G$14))-1))-SUM(G$187:G274))</f>
        <v>0</v>
      </c>
      <c r="J275" s="4">
        <f t="shared" si="39"/>
        <v>0</v>
      </c>
      <c r="K275" s="4">
        <f t="shared" si="40"/>
        <v>0</v>
      </c>
      <c r="L275" s="4">
        <f>IF(B275&lt;G$21,0,SUM(E276:E$319))</f>
        <v>0</v>
      </c>
    </row>
    <row r="276" spans="1:12" ht="12.75">
      <c r="A276" s="19" t="s">
        <v>56</v>
      </c>
      <c r="B276" s="18">
        <v>89</v>
      </c>
      <c r="D276" s="4">
        <f t="shared" si="41"/>
        <v>0</v>
      </c>
      <c r="E276" s="4">
        <f t="shared" si="42"/>
        <v>0</v>
      </c>
      <c r="F276" s="4">
        <f t="shared" si="43"/>
        <v>0</v>
      </c>
      <c r="G276" s="4">
        <f>IF(B276&gt;G$16*G$17+G$21,0,(SUM(D$187:D275)*((1+G$13/G$14)^((B276-G$21)/(12/G$14))-1))-SUM(G$187:G275))</f>
        <v>0</v>
      </c>
      <c r="J276" s="4">
        <f t="shared" si="39"/>
        <v>0</v>
      </c>
      <c r="K276" s="4">
        <f t="shared" si="40"/>
        <v>0</v>
      </c>
      <c r="L276" s="4">
        <f>IF(B276&lt;G$21,0,SUM(E277:E$319))</f>
        <v>0</v>
      </c>
    </row>
    <row r="277" spans="1:12" ht="12.75">
      <c r="A277" s="19" t="s">
        <v>57</v>
      </c>
      <c r="B277" s="18">
        <v>90</v>
      </c>
      <c r="D277" s="4">
        <f t="shared" si="41"/>
        <v>0</v>
      </c>
      <c r="E277" s="4">
        <f t="shared" si="42"/>
        <v>0</v>
      </c>
      <c r="F277" s="4">
        <f t="shared" si="43"/>
        <v>0</v>
      </c>
      <c r="G277" s="4">
        <f>IF(B277&gt;G$16*G$17+G$21,0,(SUM(D$187:D276)*((1+G$13/G$14)^((B277-G$21)/(12/G$14))-1))-SUM(G$187:G276))</f>
        <v>0</v>
      </c>
      <c r="I277" s="4">
        <f>H283*$G$22*0.3</f>
        <v>0</v>
      </c>
      <c r="J277" s="4">
        <f t="shared" si="39"/>
        <v>0</v>
      </c>
      <c r="K277" s="4">
        <f t="shared" si="40"/>
        <v>0</v>
      </c>
      <c r="L277" s="4">
        <f>IF(B277&lt;G$21,0,SUM(E278:E$319))</f>
        <v>0</v>
      </c>
    </row>
    <row r="278" spans="1:12" ht="12.75">
      <c r="A278" s="19" t="s">
        <v>58</v>
      </c>
      <c r="B278" s="18">
        <v>91</v>
      </c>
      <c r="D278" s="4">
        <f t="shared" si="41"/>
        <v>0</v>
      </c>
      <c r="E278" s="4">
        <f t="shared" si="42"/>
        <v>0</v>
      </c>
      <c r="F278" s="4">
        <f t="shared" si="43"/>
        <v>0</v>
      </c>
      <c r="G278" s="4">
        <f>IF(B278&gt;G$16*G$17+G$21,0,(SUM(D$187:D277)*((1+G$13/G$14)^((B278-G$21)/(12/G$14))-1))-SUM(G$187:G277))</f>
        <v>0</v>
      </c>
      <c r="J278" s="4">
        <f t="shared" si="39"/>
        <v>0</v>
      </c>
      <c r="K278" s="4">
        <f t="shared" si="40"/>
        <v>0</v>
      </c>
      <c r="L278" s="4">
        <f>IF(B278&lt;G$21,0,SUM(E279:E$319))</f>
        <v>0</v>
      </c>
    </row>
    <row r="279" spans="1:12" ht="12.75">
      <c r="A279" s="19" t="s">
        <v>59</v>
      </c>
      <c r="B279" s="18">
        <v>92</v>
      </c>
      <c r="D279" s="4">
        <f t="shared" si="41"/>
        <v>0</v>
      </c>
      <c r="E279" s="4">
        <f t="shared" si="42"/>
        <v>0</v>
      </c>
      <c r="F279" s="4">
        <f t="shared" si="43"/>
        <v>0</v>
      </c>
      <c r="G279" s="4">
        <f>IF(B279&gt;G$16*G$17+G$21,0,(SUM(D$187:D278)*((1+G$13/G$14)^((B279-G$21)/(12/G$14))-1))-SUM(G$187:G278))</f>
        <v>0</v>
      </c>
      <c r="J279" s="4">
        <f t="shared" si="39"/>
        <v>0</v>
      </c>
      <c r="K279" s="4">
        <f t="shared" si="40"/>
        <v>0</v>
      </c>
      <c r="L279" s="4">
        <f>IF(B279&lt;G$21,0,SUM(E280:E$319))</f>
        <v>0</v>
      </c>
    </row>
    <row r="280" spans="1:12" ht="12.75">
      <c r="A280" s="19" t="s">
        <v>60</v>
      </c>
      <c r="B280" s="18">
        <v>93</v>
      </c>
      <c r="D280" s="4">
        <f t="shared" si="41"/>
        <v>0</v>
      </c>
      <c r="E280" s="4">
        <f t="shared" si="42"/>
        <v>0</v>
      </c>
      <c r="F280" s="4">
        <f t="shared" si="43"/>
        <v>0</v>
      </c>
      <c r="G280" s="4">
        <f>IF(B280&gt;G$16*G$17+G$21,0,(SUM(D$187:D279)*((1+G$13/G$14)^((B280-G$21)/(12/G$14))-1))-SUM(G$187:G279))</f>
        <v>0</v>
      </c>
      <c r="I280" s="4">
        <f>H283*$G$22*0.3</f>
        <v>0</v>
      </c>
      <c r="J280" s="4">
        <f t="shared" si="39"/>
        <v>0</v>
      </c>
      <c r="K280" s="4">
        <f t="shared" si="40"/>
        <v>0</v>
      </c>
      <c r="L280" s="4">
        <f>IF(B280&lt;G$21,0,SUM(E281:E$319))</f>
        <v>0</v>
      </c>
    </row>
    <row r="281" spans="1:12" ht="12.75">
      <c r="A281" s="19" t="s">
        <v>61</v>
      </c>
      <c r="B281" s="18">
        <v>94</v>
      </c>
      <c r="D281" s="4">
        <f t="shared" si="41"/>
        <v>0</v>
      </c>
      <c r="E281" s="4">
        <f t="shared" si="42"/>
        <v>0</v>
      </c>
      <c r="F281" s="4">
        <f t="shared" si="43"/>
        <v>0</v>
      </c>
      <c r="G281" s="4">
        <f>IF(B281&gt;G$16*G$17+G$21,0,(SUM(D$187:D280)*((1+G$13/G$14)^((B281-G$21)/(12/G$14))-1))-SUM(G$187:G280))</f>
        <v>0</v>
      </c>
      <c r="J281" s="4">
        <f t="shared" si="39"/>
        <v>0</v>
      </c>
      <c r="K281" s="4">
        <f t="shared" si="40"/>
        <v>0</v>
      </c>
      <c r="L281" s="4">
        <f>IF(B281&lt;G$21,0,SUM(E282:E$319))</f>
        <v>0</v>
      </c>
    </row>
    <row r="282" spans="1:12" ht="12.75">
      <c r="A282" s="19" t="s">
        <v>62</v>
      </c>
      <c r="B282" s="18">
        <v>95</v>
      </c>
      <c r="D282" s="4">
        <f t="shared" si="41"/>
        <v>0</v>
      </c>
      <c r="E282" s="4">
        <f t="shared" si="42"/>
        <v>0</v>
      </c>
      <c r="F282" s="4">
        <f t="shared" si="43"/>
        <v>0</v>
      </c>
      <c r="G282" s="4">
        <f>IF(B282&gt;G$16*G$17+G$21,0,(SUM(D$187:D281)*((1+G$13/G$14)^((B282-G$21)/(12/G$14))-1))-SUM(G$187:G281))</f>
        <v>0</v>
      </c>
      <c r="J282" s="4">
        <f t="shared" si="39"/>
        <v>0</v>
      </c>
      <c r="K282" s="4">
        <f t="shared" si="40"/>
        <v>0</v>
      </c>
      <c r="L282" s="4">
        <f>IF(B282&lt;G$21,0,SUM(E283:E$319))</f>
        <v>0</v>
      </c>
    </row>
    <row r="283" spans="1:12" ht="12.75">
      <c r="A283" s="19" t="s">
        <v>63</v>
      </c>
      <c r="B283" s="18">
        <v>96</v>
      </c>
      <c r="D283" s="4">
        <f t="shared" si="41"/>
        <v>0</v>
      </c>
      <c r="E283" s="4">
        <f t="shared" si="42"/>
        <v>0</v>
      </c>
      <c r="F283" s="4">
        <f t="shared" si="43"/>
        <v>0</v>
      </c>
      <c r="G283" s="4">
        <f>IF(B283&gt;G$16*G$17+G$21,0,(SUM(D$187:D282)*((1+G$13/G$14)^((B283-G$21)/(12/G$14))-1))-SUM(G$187:G282))</f>
        <v>0</v>
      </c>
      <c r="H283" s="4">
        <f>SUM(F272:F283)-SUM(G272:G283)</f>
        <v>0</v>
      </c>
      <c r="I283" s="4">
        <f>H283*$G$22*0.25</f>
        <v>0</v>
      </c>
      <c r="J283" s="4">
        <f t="shared" si="39"/>
        <v>0</v>
      </c>
      <c r="K283" s="4">
        <f t="shared" si="40"/>
        <v>0</v>
      </c>
      <c r="L283" s="4">
        <f>IF(B283&lt;G$21,0,SUM(E284:E$319))</f>
        <v>0</v>
      </c>
    </row>
    <row r="284" spans="1:12" ht="12.75">
      <c r="A284" s="19" t="s">
        <v>52</v>
      </c>
      <c r="B284" s="18">
        <v>97</v>
      </c>
      <c r="D284" s="4">
        <f t="shared" si="41"/>
        <v>0</v>
      </c>
      <c r="E284" s="4">
        <f t="shared" si="42"/>
        <v>0</v>
      </c>
      <c r="F284" s="4">
        <f t="shared" si="43"/>
        <v>0</v>
      </c>
      <c r="G284" s="4">
        <f>IF(B284&gt;G$16*G$17+G$21,0,(SUM(D$187:D283)*((1+G$13/G$14)^((B284-G$21)/(12/G$14))-1))-SUM(G$187:G283))</f>
        <v>0</v>
      </c>
      <c r="J284" s="4">
        <f aca="true" t="shared" si="44" ref="J284:J319">C284+D284+E284</f>
        <v>0</v>
      </c>
      <c r="K284" s="4">
        <f t="shared" si="40"/>
        <v>0</v>
      </c>
      <c r="L284" s="4">
        <f>IF(B284&lt;G$21,0,SUM(E285:E$319))</f>
        <v>0</v>
      </c>
    </row>
    <row r="285" spans="1:12" ht="12.75">
      <c r="A285" s="19" t="s">
        <v>53</v>
      </c>
      <c r="B285" s="18">
        <v>98</v>
      </c>
      <c r="D285" s="4">
        <f t="shared" si="41"/>
        <v>0</v>
      </c>
      <c r="E285" s="4">
        <f t="shared" si="42"/>
        <v>0</v>
      </c>
      <c r="F285" s="4">
        <f t="shared" si="43"/>
        <v>0</v>
      </c>
      <c r="G285" s="4">
        <f>IF(B285&gt;G$16*G$17+G$21,0,(SUM(D$187:D284)*((1+G$13/G$14)^((B285-G$21)/(12/G$14))-1))-SUM(G$187:G284))</f>
        <v>0</v>
      </c>
      <c r="J285" s="4">
        <f t="shared" si="44"/>
        <v>0</v>
      </c>
      <c r="K285" s="4">
        <f t="shared" si="40"/>
        <v>0</v>
      </c>
      <c r="L285" s="4">
        <f>IF(B285&lt;G$21,0,SUM(E286:E$319))</f>
        <v>0</v>
      </c>
    </row>
    <row r="286" spans="1:12" ht="12.75">
      <c r="A286" s="19" t="s">
        <v>54</v>
      </c>
      <c r="B286" s="18">
        <v>99</v>
      </c>
      <c r="D286" s="4">
        <f t="shared" si="41"/>
        <v>0</v>
      </c>
      <c r="E286" s="4">
        <f t="shared" si="42"/>
        <v>0</v>
      </c>
      <c r="F286" s="4">
        <f t="shared" si="43"/>
        <v>0</v>
      </c>
      <c r="G286" s="4">
        <f>IF(B286&gt;G$16*G$17+G$21,0,(SUM(D$187:D285)*((1+G$13/G$14)^((B286-G$21)/(12/G$14))-1))-SUM(G$187:G285))</f>
        <v>0</v>
      </c>
      <c r="I286" s="4">
        <f>H295*G$22*0.15</f>
        <v>0</v>
      </c>
      <c r="J286" s="4">
        <f t="shared" si="44"/>
        <v>0</v>
      </c>
      <c r="K286" s="4">
        <f t="shared" si="40"/>
        <v>0</v>
      </c>
      <c r="L286" s="4">
        <f>IF(B286&lt;G$21,0,SUM(E287:E$319))</f>
        <v>0</v>
      </c>
    </row>
    <row r="287" spans="1:12" ht="12.75">
      <c r="A287" s="19" t="s">
        <v>55</v>
      </c>
      <c r="B287" s="18">
        <v>100</v>
      </c>
      <c r="D287" s="4">
        <f t="shared" si="41"/>
        <v>0</v>
      </c>
      <c r="E287" s="4">
        <f t="shared" si="42"/>
        <v>0</v>
      </c>
      <c r="F287" s="4">
        <f t="shared" si="43"/>
        <v>0</v>
      </c>
      <c r="G287" s="4">
        <f>IF(B287&gt;G$16*G$17+G$21,0,(SUM(D$187:D286)*((1+G$13/G$14)^((B287-G$21)/(12/G$14))-1))-SUM(G$187:G286))</f>
        <v>0</v>
      </c>
      <c r="J287" s="4">
        <f t="shared" si="44"/>
        <v>0</v>
      </c>
      <c r="K287" s="4">
        <f t="shared" si="40"/>
        <v>0</v>
      </c>
      <c r="L287" s="4">
        <f>IF(B287&lt;G$21,0,SUM(E288:E$319))</f>
        <v>0</v>
      </c>
    </row>
    <row r="288" spans="1:12" ht="12.75">
      <c r="A288" s="19" t="s">
        <v>56</v>
      </c>
      <c r="B288" s="18">
        <v>101</v>
      </c>
      <c r="D288" s="4">
        <f t="shared" si="41"/>
        <v>0</v>
      </c>
      <c r="E288" s="4">
        <f t="shared" si="42"/>
        <v>0</v>
      </c>
      <c r="F288" s="4">
        <f t="shared" si="43"/>
        <v>0</v>
      </c>
      <c r="G288" s="4">
        <f>IF(B288&gt;G$16*G$17+G$21,0,(SUM(D$187:D287)*((1+G$13/G$14)^((B288-G$21)/(12/G$14))-1))-SUM(G$187:G287))</f>
        <v>0</v>
      </c>
      <c r="J288" s="4">
        <f t="shared" si="44"/>
        <v>0</v>
      </c>
      <c r="K288" s="4">
        <f t="shared" si="40"/>
        <v>0</v>
      </c>
      <c r="L288" s="4">
        <f>IF(B288&lt;G$21,0,SUM(E289:E$319))</f>
        <v>0</v>
      </c>
    </row>
    <row r="289" spans="1:12" ht="12.75">
      <c r="A289" s="19" t="s">
        <v>57</v>
      </c>
      <c r="B289" s="18">
        <v>102</v>
      </c>
      <c r="D289" s="4">
        <f t="shared" si="41"/>
        <v>0</v>
      </c>
      <c r="E289" s="4">
        <f t="shared" si="42"/>
        <v>0</v>
      </c>
      <c r="F289" s="4">
        <f t="shared" si="43"/>
        <v>0</v>
      </c>
      <c r="G289" s="4">
        <f>IF(B289&gt;G$16*G$17+G$21,0,(SUM(D$187:D288)*((1+G$13/G$14)^((B289-G$21)/(12/G$14))-1))-SUM(G$187:G288))</f>
        <v>0</v>
      </c>
      <c r="I289" s="4">
        <f>H295*$G$22*0.3</f>
        <v>0</v>
      </c>
      <c r="J289" s="4">
        <f t="shared" si="44"/>
        <v>0</v>
      </c>
      <c r="K289" s="4">
        <f t="shared" si="40"/>
        <v>0</v>
      </c>
      <c r="L289" s="4">
        <f>IF(B289&lt;G$21,0,SUM(E290:E$319))</f>
        <v>0</v>
      </c>
    </row>
    <row r="290" spans="1:12" ht="12.75">
      <c r="A290" s="19" t="s">
        <v>58</v>
      </c>
      <c r="B290" s="18">
        <v>103</v>
      </c>
      <c r="D290" s="4">
        <f t="shared" si="41"/>
        <v>0</v>
      </c>
      <c r="E290" s="4">
        <f t="shared" si="42"/>
        <v>0</v>
      </c>
      <c r="F290" s="4">
        <f t="shared" si="43"/>
        <v>0</v>
      </c>
      <c r="G290" s="4">
        <f>IF(B290&gt;G$16*G$17+G$21,0,(SUM(D$187:D289)*((1+G$13/G$14)^((B290-G$21)/(12/G$14))-1))-SUM(G$187:G289))</f>
        <v>0</v>
      </c>
      <c r="J290" s="4">
        <f t="shared" si="44"/>
        <v>0</v>
      </c>
      <c r="K290" s="4">
        <f t="shared" si="40"/>
        <v>0</v>
      </c>
      <c r="L290" s="4">
        <f>IF(B290&lt;G$21,0,SUM(E291:E$319))</f>
        <v>0</v>
      </c>
    </row>
    <row r="291" spans="1:12" ht="12.75">
      <c r="A291" s="19" t="s">
        <v>59</v>
      </c>
      <c r="B291" s="18">
        <v>104</v>
      </c>
      <c r="D291" s="4">
        <f t="shared" si="41"/>
        <v>0</v>
      </c>
      <c r="E291" s="4">
        <f t="shared" si="42"/>
        <v>0</v>
      </c>
      <c r="F291" s="4">
        <f t="shared" si="43"/>
        <v>0</v>
      </c>
      <c r="G291" s="4">
        <f>IF(B291&gt;G$16*G$17+G$21,0,(SUM(D$187:D290)*((1+G$13/G$14)^((B291-G$21)/(12/G$14))-1))-SUM(G$187:G290))</f>
        <v>0</v>
      </c>
      <c r="J291" s="4">
        <f t="shared" si="44"/>
        <v>0</v>
      </c>
      <c r="K291" s="4">
        <f t="shared" si="40"/>
        <v>0</v>
      </c>
      <c r="L291" s="4">
        <f>IF(B291&lt;G$21,0,SUM(E292:E$319))</f>
        <v>0</v>
      </c>
    </row>
    <row r="292" spans="1:12" ht="12.75">
      <c r="A292" s="19" t="s">
        <v>60</v>
      </c>
      <c r="B292" s="18">
        <v>105</v>
      </c>
      <c r="D292" s="4">
        <f t="shared" si="41"/>
        <v>0</v>
      </c>
      <c r="E292" s="4">
        <f t="shared" si="42"/>
        <v>0</v>
      </c>
      <c r="F292" s="4">
        <f t="shared" si="43"/>
        <v>0</v>
      </c>
      <c r="G292" s="4">
        <f>IF(B292&gt;G$16*G$17+G$21,0,(SUM(D$187:D291)*((1+G$13/G$14)^((B292-G$21)/(12/G$14))-1))-SUM(G$187:G291))</f>
        <v>0</v>
      </c>
      <c r="I292" s="4">
        <f>H295*$G$22*0.3</f>
        <v>0</v>
      </c>
      <c r="J292" s="4">
        <f t="shared" si="44"/>
        <v>0</v>
      </c>
      <c r="K292" s="4">
        <f t="shared" si="40"/>
        <v>0</v>
      </c>
      <c r="L292" s="4">
        <f>IF(B292&lt;G$21,0,SUM(E293:E$319))</f>
        <v>0</v>
      </c>
    </row>
    <row r="293" spans="1:12" ht="12.75">
      <c r="A293" s="19" t="s">
        <v>61</v>
      </c>
      <c r="B293" s="18">
        <v>106</v>
      </c>
      <c r="D293" s="4">
        <f t="shared" si="41"/>
        <v>0</v>
      </c>
      <c r="E293" s="4">
        <f t="shared" si="42"/>
        <v>0</v>
      </c>
      <c r="F293" s="4">
        <f t="shared" si="43"/>
        <v>0</v>
      </c>
      <c r="G293" s="4">
        <f>IF(B293&gt;G$16*G$17+G$21,0,(SUM(D$187:D292)*((1+G$13/G$14)^((B293-G$21)/(12/G$14))-1))-SUM(G$187:G292))</f>
        <v>0</v>
      </c>
      <c r="J293" s="4">
        <f t="shared" si="44"/>
        <v>0</v>
      </c>
      <c r="K293" s="4">
        <f aca="true" t="shared" si="45" ref="K293:K319">C293+E293-I293+D293</f>
        <v>0</v>
      </c>
      <c r="L293" s="4">
        <f>IF(B293&lt;G$21,0,SUM(E294:E$319))</f>
        <v>0</v>
      </c>
    </row>
    <row r="294" spans="1:12" ht="12.75">
      <c r="A294" s="19" t="s">
        <v>62</v>
      </c>
      <c r="B294" s="18">
        <v>107</v>
      </c>
      <c r="D294" s="4">
        <f t="shared" si="41"/>
        <v>0</v>
      </c>
      <c r="E294" s="4">
        <f t="shared" si="42"/>
        <v>0</v>
      </c>
      <c r="F294" s="4">
        <f t="shared" si="43"/>
        <v>0</v>
      </c>
      <c r="G294" s="4">
        <f>IF(B294&gt;G$16*G$17+G$21,0,(SUM(D$187:D293)*((1+G$13/G$14)^((B294-G$21)/(12/G$14))-1))-SUM(G$187:G293))</f>
        <v>0</v>
      </c>
      <c r="J294" s="4">
        <f t="shared" si="44"/>
        <v>0</v>
      </c>
      <c r="K294" s="4">
        <f t="shared" si="45"/>
        <v>0</v>
      </c>
      <c r="L294" s="4">
        <f>IF(B294&lt;G$21,0,SUM(E295:E$319))</f>
        <v>0</v>
      </c>
    </row>
    <row r="295" spans="1:12" ht="12.75">
      <c r="A295" s="19" t="s">
        <v>63</v>
      </c>
      <c r="B295" s="18">
        <v>108</v>
      </c>
      <c r="D295" s="4">
        <f t="shared" si="41"/>
        <v>0</v>
      </c>
      <c r="E295" s="4">
        <f t="shared" si="42"/>
        <v>0</v>
      </c>
      <c r="F295" s="4">
        <f t="shared" si="43"/>
        <v>0</v>
      </c>
      <c r="G295" s="4">
        <f>IF(B295&gt;G$16*G$17+G$21,0,(SUM(D$187:D294)*((1+G$13/G$14)^((B295-G$21)/(12/G$14))-1))-SUM(G$187:G294))</f>
        <v>0</v>
      </c>
      <c r="H295" s="4">
        <f>SUM(F284:F295)-SUM(G284:G295)</f>
        <v>0</v>
      </c>
      <c r="I295" s="4">
        <f>H295*$G$22*0.25</f>
        <v>0</v>
      </c>
      <c r="J295" s="4">
        <f t="shared" si="44"/>
        <v>0</v>
      </c>
      <c r="K295" s="4">
        <f t="shared" si="45"/>
        <v>0</v>
      </c>
      <c r="L295" s="4">
        <f>IF(B295&lt;G$21,0,SUM(E296:E$319))</f>
        <v>0</v>
      </c>
    </row>
    <row r="296" spans="1:12" ht="12.75">
      <c r="A296" s="19" t="s">
        <v>52</v>
      </c>
      <c r="B296" s="18">
        <v>109</v>
      </c>
      <c r="D296" s="4">
        <f aca="true" t="shared" si="46" ref="D296:D319">IF(B296=$G$16*G$17+G$21,-G$10*G$12*((1+G$13/G$14)^(G$16*G$14)),0)</f>
        <v>0</v>
      </c>
      <c r="E296" s="4">
        <f aca="true" t="shared" si="47" ref="E296:E319">IF(B296&lt;$G$21,0,IF(B296&lt;=G$16*G$17+$G$21-1,+(G$9*12/G$17),0))</f>
        <v>0</v>
      </c>
      <c r="F296" s="4">
        <f aca="true" t="shared" si="48" ref="F296:F319">IF(B296&lt;G$21,0,(+G$9*G$16*G$17-G$10)/SUM(L$188:L$319)*L296)</f>
        <v>0</v>
      </c>
      <c r="G296" s="4">
        <f>IF(B296&gt;G$16*G$17+G$21,0,(SUM(D$187:D295)*((1+G$13/G$14)^((B296-G$21)/(12/G$14))-1))-SUM(G$187:G295))</f>
        <v>0</v>
      </c>
      <c r="J296" s="4">
        <f t="shared" si="44"/>
        <v>0</v>
      </c>
      <c r="K296" s="4">
        <f t="shared" si="45"/>
        <v>0</v>
      </c>
      <c r="L296" s="4">
        <f>IF(B296&lt;G$21,0,SUM(E297:E$319))</f>
        <v>0</v>
      </c>
    </row>
    <row r="297" spans="1:12" ht="12.75">
      <c r="A297" s="19" t="s">
        <v>53</v>
      </c>
      <c r="B297" s="18">
        <v>110</v>
      </c>
      <c r="D297" s="4">
        <f t="shared" si="46"/>
        <v>0</v>
      </c>
      <c r="E297" s="4">
        <f t="shared" si="47"/>
        <v>0</v>
      </c>
      <c r="F297" s="4">
        <f t="shared" si="48"/>
        <v>0</v>
      </c>
      <c r="G297" s="4">
        <f>IF(B297&gt;G$16*G$17+G$21,0,(SUM(D$187:D296)*((1+G$13/G$14)^((B297-G$21)/(12/G$14))-1))-SUM(G$187:G296))</f>
        <v>0</v>
      </c>
      <c r="J297" s="4">
        <f t="shared" si="44"/>
        <v>0</v>
      </c>
      <c r="K297" s="4">
        <f t="shared" si="45"/>
        <v>0</v>
      </c>
      <c r="L297" s="4">
        <f>IF(B297&lt;G$21,0,SUM(E298:E$319))</f>
        <v>0</v>
      </c>
    </row>
    <row r="298" spans="1:12" ht="12.75">
      <c r="A298" s="19" t="s">
        <v>54</v>
      </c>
      <c r="B298" s="18">
        <v>111</v>
      </c>
      <c r="D298" s="4">
        <f t="shared" si="46"/>
        <v>0</v>
      </c>
      <c r="E298" s="4">
        <f t="shared" si="47"/>
        <v>0</v>
      </c>
      <c r="F298" s="4">
        <f t="shared" si="48"/>
        <v>0</v>
      </c>
      <c r="G298" s="4">
        <f>IF(B298&gt;G$16*G$17+G$21,0,(SUM(D$187:D297)*((1+G$13/G$14)^((B298-G$21)/(12/G$14))-1))-SUM(G$187:G297))</f>
        <v>0</v>
      </c>
      <c r="I298" s="4">
        <f>H307*G$22*0.15</f>
        <v>0</v>
      </c>
      <c r="J298" s="4">
        <f t="shared" si="44"/>
        <v>0</v>
      </c>
      <c r="K298" s="4">
        <f t="shared" si="45"/>
        <v>0</v>
      </c>
      <c r="L298" s="4">
        <f>IF(B298&lt;G$21,0,SUM(E299:E$319))</f>
        <v>0</v>
      </c>
    </row>
    <row r="299" spans="1:12" ht="12.75">
      <c r="A299" s="19" t="s">
        <v>55</v>
      </c>
      <c r="B299" s="18">
        <v>112</v>
      </c>
      <c r="D299" s="4">
        <f t="shared" si="46"/>
        <v>0</v>
      </c>
      <c r="E299" s="4">
        <f t="shared" si="47"/>
        <v>0</v>
      </c>
      <c r="F299" s="4">
        <f t="shared" si="48"/>
        <v>0</v>
      </c>
      <c r="G299" s="4">
        <f>IF(B299&gt;G$16*G$17+G$21,0,(SUM(D$187:D298)*((1+G$13/G$14)^((B299-G$21)/(12/G$14))-1))-SUM(G$187:G298))</f>
        <v>0</v>
      </c>
      <c r="J299" s="4">
        <f t="shared" si="44"/>
        <v>0</v>
      </c>
      <c r="K299" s="4">
        <f t="shared" si="45"/>
        <v>0</v>
      </c>
      <c r="L299" s="4">
        <f>IF(B299&lt;G$21,0,SUM(E300:E$319))</f>
        <v>0</v>
      </c>
    </row>
    <row r="300" spans="1:12" ht="12.75">
      <c r="A300" s="19" t="s">
        <v>56</v>
      </c>
      <c r="B300" s="18">
        <v>113</v>
      </c>
      <c r="D300" s="4">
        <f t="shared" si="46"/>
        <v>0</v>
      </c>
      <c r="E300" s="4">
        <f t="shared" si="47"/>
        <v>0</v>
      </c>
      <c r="F300" s="4">
        <f t="shared" si="48"/>
        <v>0</v>
      </c>
      <c r="G300" s="4">
        <f>IF(B300&gt;G$16*G$17+G$21,0,(SUM(D$187:D299)*((1+G$13/G$14)^((B300-G$21)/(12/G$14))-1))-SUM(G$187:G299))</f>
        <v>0</v>
      </c>
      <c r="J300" s="4">
        <f t="shared" si="44"/>
        <v>0</v>
      </c>
      <c r="K300" s="4">
        <f t="shared" si="45"/>
        <v>0</v>
      </c>
      <c r="L300" s="4">
        <f>IF(B300&lt;G$21,0,SUM(E301:E$319))</f>
        <v>0</v>
      </c>
    </row>
    <row r="301" spans="1:12" ht="12.75">
      <c r="A301" s="19" t="s">
        <v>57</v>
      </c>
      <c r="B301" s="18">
        <v>114</v>
      </c>
      <c r="D301" s="4">
        <f t="shared" si="46"/>
        <v>0</v>
      </c>
      <c r="E301" s="4">
        <f t="shared" si="47"/>
        <v>0</v>
      </c>
      <c r="F301" s="4">
        <f t="shared" si="48"/>
        <v>0</v>
      </c>
      <c r="G301" s="4">
        <f>IF(B301&gt;G$16*G$17+G$21,0,(SUM(D$187:D300)*((1+G$13/G$14)^((B301-G$21)/(12/G$14))-1))-SUM(G$187:G300))</f>
        <v>0</v>
      </c>
      <c r="I301" s="4">
        <f>H307*$G$22*0.3</f>
        <v>0</v>
      </c>
      <c r="J301" s="4">
        <f t="shared" si="44"/>
        <v>0</v>
      </c>
      <c r="K301" s="4">
        <f t="shared" si="45"/>
        <v>0</v>
      </c>
      <c r="L301" s="4">
        <f>IF(B301&lt;G$21,0,SUM(E302:E$319))</f>
        <v>0</v>
      </c>
    </row>
    <row r="302" spans="1:12" ht="12.75">
      <c r="A302" s="19" t="s">
        <v>58</v>
      </c>
      <c r="B302" s="18">
        <v>115</v>
      </c>
      <c r="D302" s="4">
        <f t="shared" si="46"/>
        <v>0</v>
      </c>
      <c r="E302" s="4">
        <f t="shared" si="47"/>
        <v>0</v>
      </c>
      <c r="F302" s="4">
        <f t="shared" si="48"/>
        <v>0</v>
      </c>
      <c r="G302" s="4">
        <f>IF(B302&gt;G$16*G$17+G$21,0,(SUM(D$187:D301)*((1+G$13/G$14)^((B302-G$21)/(12/G$14))-1))-SUM(G$187:G301))</f>
        <v>0</v>
      </c>
      <c r="J302" s="4">
        <f t="shared" si="44"/>
        <v>0</v>
      </c>
      <c r="K302" s="4">
        <f t="shared" si="45"/>
        <v>0</v>
      </c>
      <c r="L302" s="4">
        <f>IF(B302&lt;G$21,0,SUM(E303:E$319))</f>
        <v>0</v>
      </c>
    </row>
    <row r="303" spans="1:12" ht="12.75">
      <c r="A303" s="19" t="s">
        <v>59</v>
      </c>
      <c r="B303" s="18">
        <v>116</v>
      </c>
      <c r="D303" s="4">
        <f t="shared" si="46"/>
        <v>0</v>
      </c>
      <c r="E303" s="4">
        <f t="shared" si="47"/>
        <v>0</v>
      </c>
      <c r="F303" s="4">
        <f t="shared" si="48"/>
        <v>0</v>
      </c>
      <c r="G303" s="4">
        <f>IF(B303&gt;G$16*G$17+G$21,0,(SUM(D$187:D302)*((1+G$13/G$14)^((B303-G$21)/(12/G$14))-1))-SUM(G$187:G302))</f>
        <v>0</v>
      </c>
      <c r="J303" s="4">
        <f t="shared" si="44"/>
        <v>0</v>
      </c>
      <c r="K303" s="4">
        <f t="shared" si="45"/>
        <v>0</v>
      </c>
      <c r="L303" s="4">
        <f>IF(B303&lt;G$21,0,SUM(E304:E$319))</f>
        <v>0</v>
      </c>
    </row>
    <row r="304" spans="1:12" ht="12.75">
      <c r="A304" s="19" t="s">
        <v>60</v>
      </c>
      <c r="B304" s="18">
        <v>117</v>
      </c>
      <c r="D304" s="4">
        <f t="shared" si="46"/>
        <v>0</v>
      </c>
      <c r="E304" s="4">
        <f t="shared" si="47"/>
        <v>0</v>
      </c>
      <c r="F304" s="4">
        <f t="shared" si="48"/>
        <v>0</v>
      </c>
      <c r="G304" s="4">
        <f>IF(B304&gt;G$16*G$17+G$21,0,(SUM(D$187:D303)*((1+G$13/G$14)^((B304-G$21)/(12/G$14))-1))-SUM(G$187:G303))</f>
        <v>0</v>
      </c>
      <c r="I304" s="4">
        <f>H307*$G$22*0.3</f>
        <v>0</v>
      </c>
      <c r="J304" s="4">
        <f t="shared" si="44"/>
        <v>0</v>
      </c>
      <c r="K304" s="4">
        <f t="shared" si="45"/>
        <v>0</v>
      </c>
      <c r="L304" s="4">
        <f>IF(B304&lt;G$21,0,SUM(E305:E$319))</f>
        <v>0</v>
      </c>
    </row>
    <row r="305" spans="1:12" ht="12.75">
      <c r="A305" s="19" t="s">
        <v>61</v>
      </c>
      <c r="B305" s="18">
        <v>118</v>
      </c>
      <c r="D305" s="4">
        <f t="shared" si="46"/>
        <v>0</v>
      </c>
      <c r="E305" s="4">
        <f t="shared" si="47"/>
        <v>0</v>
      </c>
      <c r="F305" s="4">
        <f t="shared" si="48"/>
        <v>0</v>
      </c>
      <c r="G305" s="4">
        <f>IF(B305&gt;G$16*G$17+G$21,0,(SUM(D$187:D304)*((1+G$13/G$14)^((B305-G$21)/(12/G$14))-1))-SUM(G$187:G304))</f>
        <v>0</v>
      </c>
      <c r="J305" s="4">
        <f t="shared" si="44"/>
        <v>0</v>
      </c>
      <c r="K305" s="4">
        <f t="shared" si="45"/>
        <v>0</v>
      </c>
      <c r="L305" s="4">
        <f>IF(B305&lt;G$21,0,SUM(E306:E$319))</f>
        <v>0</v>
      </c>
    </row>
    <row r="306" spans="1:12" ht="12.75">
      <c r="A306" s="19" t="s">
        <v>62</v>
      </c>
      <c r="B306" s="18">
        <v>119</v>
      </c>
      <c r="D306" s="4">
        <f t="shared" si="46"/>
        <v>0</v>
      </c>
      <c r="E306" s="4">
        <f t="shared" si="47"/>
        <v>0</v>
      </c>
      <c r="F306" s="4">
        <f t="shared" si="48"/>
        <v>0</v>
      </c>
      <c r="G306" s="4">
        <f>IF(B306&gt;G$16*G$17+G$21,0,(SUM(D$187:D305)*((1+G$13/G$14)^((B306-G$21)/(12/G$14))-1))-SUM(G$187:G305))</f>
        <v>0</v>
      </c>
      <c r="J306" s="4">
        <f t="shared" si="44"/>
        <v>0</v>
      </c>
      <c r="K306" s="4">
        <f t="shared" si="45"/>
        <v>0</v>
      </c>
      <c r="L306" s="4">
        <f>IF(B306&lt;G$21,0,SUM(E307:E$319))</f>
        <v>0</v>
      </c>
    </row>
    <row r="307" spans="1:12" ht="12.75">
      <c r="A307" s="19" t="s">
        <v>63</v>
      </c>
      <c r="B307" s="18">
        <v>120</v>
      </c>
      <c r="D307" s="4">
        <f t="shared" si="46"/>
        <v>0</v>
      </c>
      <c r="E307" s="4">
        <f t="shared" si="47"/>
        <v>0</v>
      </c>
      <c r="F307" s="4">
        <f t="shared" si="48"/>
        <v>0</v>
      </c>
      <c r="G307" s="4">
        <f>IF(B307&gt;G$16*G$17+G$21,0,(SUM(D$187:D306)*((1+G$13/G$14)^((B307-G$21)/(12/G$14))-1))-SUM(G$187:G306))</f>
        <v>0</v>
      </c>
      <c r="H307" s="4">
        <f>SUM(F296:F307)-SUM(G296:G307)</f>
        <v>0</v>
      </c>
      <c r="I307" s="4">
        <f>H307*$G$22*0.25</f>
        <v>0</v>
      </c>
      <c r="J307" s="4">
        <f t="shared" si="44"/>
        <v>0</v>
      </c>
      <c r="K307" s="4">
        <f t="shared" si="45"/>
        <v>0</v>
      </c>
      <c r="L307" s="4">
        <f>IF(B307&lt;G$21,0,SUM(E308:E$319))</f>
        <v>0</v>
      </c>
    </row>
    <row r="308" spans="1:12" ht="12.75">
      <c r="A308" s="19" t="s">
        <v>52</v>
      </c>
      <c r="B308" s="18">
        <v>121</v>
      </c>
      <c r="D308" s="4">
        <f t="shared" si="46"/>
        <v>0</v>
      </c>
      <c r="E308" s="4">
        <f t="shared" si="47"/>
        <v>0</v>
      </c>
      <c r="F308" s="4">
        <f t="shared" si="48"/>
        <v>0</v>
      </c>
      <c r="G308" s="4">
        <f>IF(B308&gt;G$16*G$17+G$21,0,(SUM(D$187:D307)*((1+G$13/G$14)^((B308-G$21)/(12/G$14))-1))-SUM(G$187:G307))</f>
        <v>0</v>
      </c>
      <c r="J308" s="4">
        <f t="shared" si="44"/>
        <v>0</v>
      </c>
      <c r="K308" s="4">
        <f t="shared" si="45"/>
        <v>0</v>
      </c>
      <c r="L308" s="4">
        <f>IF(B308&lt;G$21,0,SUM(E309:E$319))</f>
        <v>0</v>
      </c>
    </row>
    <row r="309" spans="1:12" ht="12.75">
      <c r="A309" s="19" t="s">
        <v>53</v>
      </c>
      <c r="B309" s="18">
        <v>122</v>
      </c>
      <c r="D309" s="4">
        <f t="shared" si="46"/>
        <v>0</v>
      </c>
      <c r="E309" s="4">
        <f t="shared" si="47"/>
        <v>0</v>
      </c>
      <c r="F309" s="4">
        <f t="shared" si="48"/>
        <v>0</v>
      </c>
      <c r="G309" s="4">
        <f>IF(B309&gt;G$16*G$17+G$21,0,(SUM(D$187:D308)*((1+G$13/G$14)^((B309-G$21)/(12/G$14))-1))-SUM(G$187:G308))</f>
        <v>0</v>
      </c>
      <c r="J309" s="4">
        <f t="shared" si="44"/>
        <v>0</v>
      </c>
      <c r="K309" s="4">
        <f t="shared" si="45"/>
        <v>0</v>
      </c>
      <c r="L309" s="4">
        <f>IF(B309&lt;G$21,0,SUM(E310:E$319))</f>
        <v>0</v>
      </c>
    </row>
    <row r="310" spans="1:12" ht="12.75">
      <c r="A310" s="19" t="s">
        <v>54</v>
      </c>
      <c r="B310" s="18">
        <v>123</v>
      </c>
      <c r="D310" s="4">
        <f t="shared" si="46"/>
        <v>0</v>
      </c>
      <c r="E310" s="4">
        <f t="shared" si="47"/>
        <v>0</v>
      </c>
      <c r="F310" s="4">
        <f t="shared" si="48"/>
        <v>0</v>
      </c>
      <c r="G310" s="4">
        <f>IF(B310&gt;G$16*G$17+G$21,0,(SUM(D$187:D309)*((1+G$13/G$14)^((B310-G$21)/(12/G$14))-1))-SUM(G$187:G309))</f>
        <v>0</v>
      </c>
      <c r="I310" s="4">
        <f>H319*G$22*0.15</f>
        <v>0</v>
      </c>
      <c r="J310" s="4">
        <f t="shared" si="44"/>
        <v>0</v>
      </c>
      <c r="K310" s="4">
        <f t="shared" si="45"/>
        <v>0</v>
      </c>
      <c r="L310" s="4">
        <f>IF(B310&lt;G$21,0,SUM(E311:E$319))</f>
        <v>0</v>
      </c>
    </row>
    <row r="311" spans="1:12" ht="12.75">
      <c r="A311" s="19" t="s">
        <v>55</v>
      </c>
      <c r="B311" s="18">
        <v>124</v>
      </c>
      <c r="D311" s="4">
        <f t="shared" si="46"/>
        <v>0</v>
      </c>
      <c r="E311" s="4">
        <f t="shared" si="47"/>
        <v>0</v>
      </c>
      <c r="F311" s="4">
        <f t="shared" si="48"/>
        <v>0</v>
      </c>
      <c r="G311" s="4">
        <f>IF(B311&gt;G$16*G$17+G$21,0,(SUM(D$187:D310)*((1+G$13/G$14)^((B311-G$21)/(12/G$14))-1))-SUM(G$187:G310))</f>
        <v>0</v>
      </c>
      <c r="J311" s="4">
        <f t="shared" si="44"/>
        <v>0</v>
      </c>
      <c r="K311" s="4">
        <f t="shared" si="45"/>
        <v>0</v>
      </c>
      <c r="L311" s="4">
        <f>IF(B311&lt;G$21,0,SUM(E312:E$319))</f>
        <v>0</v>
      </c>
    </row>
    <row r="312" spans="1:12" ht="12.75">
      <c r="A312" s="19" t="s">
        <v>56</v>
      </c>
      <c r="B312" s="18">
        <v>125</v>
      </c>
      <c r="D312" s="4">
        <f t="shared" si="46"/>
        <v>0</v>
      </c>
      <c r="E312" s="4">
        <f t="shared" si="47"/>
        <v>0</v>
      </c>
      <c r="F312" s="4">
        <f t="shared" si="48"/>
        <v>0</v>
      </c>
      <c r="G312" s="4">
        <f>IF(B312&gt;G$16*G$17+G$21,0,(SUM(D$187:D311)*((1+G$13/G$14)^((B312-G$21)/(12/G$14))-1))-SUM(G$187:G311))</f>
        <v>0</v>
      </c>
      <c r="J312" s="4">
        <f t="shared" si="44"/>
        <v>0</v>
      </c>
      <c r="K312" s="4">
        <f t="shared" si="45"/>
        <v>0</v>
      </c>
      <c r="L312" s="4">
        <f>IF(B312&lt;G$21,0,SUM(E313:E$319))</f>
        <v>0</v>
      </c>
    </row>
    <row r="313" spans="1:12" ht="12.75">
      <c r="A313" s="19" t="s">
        <v>57</v>
      </c>
      <c r="B313" s="18">
        <v>126</v>
      </c>
      <c r="D313" s="4">
        <f t="shared" si="46"/>
        <v>0</v>
      </c>
      <c r="E313" s="4">
        <f t="shared" si="47"/>
        <v>0</v>
      </c>
      <c r="F313" s="4">
        <f t="shared" si="48"/>
        <v>0</v>
      </c>
      <c r="G313" s="4">
        <f>IF(B313&gt;G$16*G$17+G$21,0,(SUM(D$187:D312)*((1+G$13/G$14)^((B313-G$21)/(12/G$14))-1))-SUM(G$187:G312))</f>
        <v>0</v>
      </c>
      <c r="I313" s="4">
        <f>H319*$G$22*0.3</f>
        <v>0</v>
      </c>
      <c r="J313" s="4">
        <f t="shared" si="44"/>
        <v>0</v>
      </c>
      <c r="K313" s="4">
        <f t="shared" si="45"/>
        <v>0</v>
      </c>
      <c r="L313" s="4">
        <f>IF(B313&lt;G$21,0,SUM(E314:E$319))</f>
        <v>0</v>
      </c>
    </row>
    <row r="314" spans="1:12" ht="12.75">
      <c r="A314" s="19" t="s">
        <v>58</v>
      </c>
      <c r="B314" s="18">
        <v>127</v>
      </c>
      <c r="D314" s="4">
        <f t="shared" si="46"/>
        <v>0</v>
      </c>
      <c r="E314" s="4">
        <f t="shared" si="47"/>
        <v>0</v>
      </c>
      <c r="F314" s="4">
        <f t="shared" si="48"/>
        <v>0</v>
      </c>
      <c r="G314" s="4">
        <f>IF(B314&gt;G$16*G$17+G$21,0,(SUM(D$187:D313)*((1+G$13/G$14)^((B314-G$21)/(12/G$14))-1))-SUM(G$187:G313))</f>
        <v>0</v>
      </c>
      <c r="J314" s="4">
        <f t="shared" si="44"/>
        <v>0</v>
      </c>
      <c r="K314" s="4">
        <f t="shared" si="45"/>
        <v>0</v>
      </c>
      <c r="L314" s="4">
        <f>IF(B314&lt;G$21,0,SUM(E315:E$319))</f>
        <v>0</v>
      </c>
    </row>
    <row r="315" spans="1:12" ht="12.75">
      <c r="A315" s="19" t="s">
        <v>59</v>
      </c>
      <c r="B315" s="18">
        <v>128</v>
      </c>
      <c r="D315" s="4">
        <f t="shared" si="46"/>
        <v>0</v>
      </c>
      <c r="E315" s="4">
        <f t="shared" si="47"/>
        <v>0</v>
      </c>
      <c r="F315" s="4">
        <f t="shared" si="48"/>
        <v>0</v>
      </c>
      <c r="G315" s="4">
        <f>IF(B315&gt;G$16*G$17+G$21,0,(SUM(D$187:D314)*((1+G$13/G$14)^((B315-G$21)/(12/G$14))-1))-SUM(G$187:G314))</f>
        <v>0</v>
      </c>
      <c r="J315" s="4">
        <f t="shared" si="44"/>
        <v>0</v>
      </c>
      <c r="K315" s="4">
        <f t="shared" si="45"/>
        <v>0</v>
      </c>
      <c r="L315" s="4">
        <f>IF(B315&lt;G$21,0,SUM(E316:E$319))</f>
        <v>0</v>
      </c>
    </row>
    <row r="316" spans="1:12" ht="12.75">
      <c r="A316" s="19" t="s">
        <v>60</v>
      </c>
      <c r="B316" s="18">
        <v>129</v>
      </c>
      <c r="D316" s="4">
        <f t="shared" si="46"/>
        <v>0</v>
      </c>
      <c r="E316" s="4">
        <f t="shared" si="47"/>
        <v>0</v>
      </c>
      <c r="F316" s="4">
        <f t="shared" si="48"/>
        <v>0</v>
      </c>
      <c r="G316" s="4">
        <f>IF(B316&gt;G$16*G$17+G$21,0,(SUM(D$187:D315)*((1+G$13/G$14)^((B316-G$21)/(12/G$14))-1))-SUM(G$187:G315))</f>
        <v>0</v>
      </c>
      <c r="I316" s="4">
        <f>H319*$G$22*0.3</f>
        <v>0</v>
      </c>
      <c r="J316" s="4">
        <f t="shared" si="44"/>
        <v>0</v>
      </c>
      <c r="K316" s="4">
        <f t="shared" si="45"/>
        <v>0</v>
      </c>
      <c r="L316" s="4">
        <f>IF(B316&lt;G$21,0,SUM(E317:E$319))</f>
        <v>0</v>
      </c>
    </row>
    <row r="317" spans="1:12" ht="12.75">
      <c r="A317" s="19" t="s">
        <v>61</v>
      </c>
      <c r="B317" s="18">
        <v>130</v>
      </c>
      <c r="D317" s="4">
        <f t="shared" si="46"/>
        <v>0</v>
      </c>
      <c r="E317" s="4">
        <f t="shared" si="47"/>
        <v>0</v>
      </c>
      <c r="F317" s="4">
        <f t="shared" si="48"/>
        <v>0</v>
      </c>
      <c r="G317" s="4">
        <f>IF(B317&gt;G$16*G$17+G$21,0,(SUM(D$187:D316)*((1+G$13/G$14)^((B317-G$21)/(12/G$14))-1))-SUM(G$187:G316))</f>
        <v>0</v>
      </c>
      <c r="J317" s="4">
        <f t="shared" si="44"/>
        <v>0</v>
      </c>
      <c r="K317" s="4">
        <f t="shared" si="45"/>
        <v>0</v>
      </c>
      <c r="L317" s="4">
        <f>IF(B317&lt;G$21,0,SUM(E318:E$319))</f>
        <v>0</v>
      </c>
    </row>
    <row r="318" spans="1:12" ht="12.75">
      <c r="A318" s="19" t="s">
        <v>62</v>
      </c>
      <c r="B318" s="18">
        <v>131</v>
      </c>
      <c r="D318" s="4">
        <f t="shared" si="46"/>
        <v>0</v>
      </c>
      <c r="E318" s="4">
        <f t="shared" si="47"/>
        <v>0</v>
      </c>
      <c r="F318" s="4">
        <f t="shared" si="48"/>
        <v>0</v>
      </c>
      <c r="G318" s="4">
        <f>IF(B318&gt;G$16*G$17+G$21,0,(SUM(D$187:D317)*((1+G$13/G$14)^((B318-G$21)/(12/G$14))-1))-SUM(G$187:G317))</f>
        <v>0</v>
      </c>
      <c r="J318" s="4">
        <f t="shared" si="44"/>
        <v>0</v>
      </c>
      <c r="K318" s="4">
        <f t="shared" si="45"/>
        <v>0</v>
      </c>
      <c r="L318" s="4">
        <f>IF(B318&lt;G$21,0,SUM(E$319))</f>
        <v>0</v>
      </c>
    </row>
    <row r="319" spans="1:12" ht="12.75">
      <c r="A319" s="19" t="s">
        <v>63</v>
      </c>
      <c r="B319" s="18">
        <v>132</v>
      </c>
      <c r="D319" s="4">
        <f t="shared" si="46"/>
        <v>0</v>
      </c>
      <c r="E319" s="4">
        <f t="shared" si="47"/>
        <v>0</v>
      </c>
      <c r="F319" s="4">
        <f t="shared" si="48"/>
        <v>0</v>
      </c>
      <c r="G319" s="4">
        <f>IF(B319&gt;G$16*G$17+G$21,0,(SUM(D$187:D318)*((1+G$13/G$14)^((B319-G$21)/(12/G$14))-1))-SUM(G$187:G318))</f>
        <v>0</v>
      </c>
      <c r="H319" s="4">
        <f>SUM(F308:F319)-SUM(G308:G319)</f>
        <v>0</v>
      </c>
      <c r="I319" s="4">
        <f>H319*$G$22*0.25</f>
        <v>0</v>
      </c>
      <c r="J319" s="4">
        <f t="shared" si="44"/>
        <v>0</v>
      </c>
      <c r="K319" s="4">
        <f t="shared" si="45"/>
        <v>0</v>
      </c>
      <c r="L319" s="4">
        <f>IF(B319&lt;G$21,0,SUM(E$319:E320))</f>
        <v>0</v>
      </c>
    </row>
    <row r="320" spans="5:11" ht="12.75">
      <c r="E320" s="16" t="s">
        <v>34</v>
      </c>
      <c r="F320" s="16" t="s">
        <v>34</v>
      </c>
      <c r="K320" s="17">
        <f>IRR(K188:K319,G23/12)*G17</f>
        <v>0.12953456496255494</v>
      </c>
    </row>
    <row r="321" spans="1:12" ht="12.75">
      <c r="A321" s="18"/>
      <c r="D321" s="20"/>
      <c r="E321" s="4">
        <f>SUM(E188:E319)</f>
        <v>1563.573465146724</v>
      </c>
      <c r="F321" s="4">
        <f>SUM(F188:F319)</f>
        <v>563.5734651467225</v>
      </c>
      <c r="K321" s="20"/>
      <c r="L321" s="20"/>
    </row>
    <row r="322" spans="1:12" ht="12.75">
      <c r="A322" s="18"/>
      <c r="D322" s="20"/>
      <c r="E322" s="20"/>
      <c r="J322" s="17">
        <f>IRR(J188:J319,0.23/12)</f>
        <v>0.01666666666658007</v>
      </c>
      <c r="K322" s="20"/>
      <c r="L322" s="20"/>
    </row>
    <row r="323" spans="5:10" ht="12.75">
      <c r="E323" s="1" t="s">
        <v>66</v>
      </c>
      <c r="J323" s="17">
        <f>J322*12</f>
        <v>0.19999999999896084</v>
      </c>
    </row>
  </sheetData>
  <sheetProtection/>
  <printOptions/>
  <pageMargins left="0.75" right="0.75" top="1" bottom="1" header="0.5" footer="0.5"/>
  <pageSetup horizontalDpi="100" verticalDpi="1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vinood kothari</dc:creator>
  <cp:keywords/>
  <dc:description/>
  <cp:lastModifiedBy>Abhirup Ghosh</cp:lastModifiedBy>
  <dcterms:created xsi:type="dcterms:W3CDTF">1998-04-13T01:42:54Z</dcterms:created>
  <dcterms:modified xsi:type="dcterms:W3CDTF">2014-10-08T09:45:58Z</dcterms:modified>
  <cp:category/>
  <cp:version/>
  <cp:contentType/>
  <cp:contentStatus/>
</cp:coreProperties>
</file>